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8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9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drawings/drawing10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11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12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365" tabRatio="718"/>
  </bookViews>
  <sheets>
    <sheet name="KASUS1" sheetId="2" r:id="rId1"/>
    <sheet name="KASUS2" sheetId="1" r:id="rId2"/>
    <sheet name="KASUS3" sheetId="7" r:id="rId3"/>
    <sheet name="KASUS4" sheetId="8" r:id="rId4"/>
    <sheet name="KASUS5" sheetId="6" r:id="rId5"/>
    <sheet name="KASUS6" sheetId="16" r:id="rId6"/>
    <sheet name="KASUS7" sheetId="17" r:id="rId7"/>
    <sheet name="KASUS8" sheetId="18" r:id="rId8"/>
    <sheet name="KASUS9" sheetId="21" r:id="rId9"/>
    <sheet name="KASUS10" sheetId="13" r:id="rId10"/>
    <sheet name="KASUS11" sheetId="19" r:id="rId11"/>
    <sheet name="KASUS12" sheetId="22" r:id="rId12"/>
  </sheets>
  <externalReferences>
    <externalReference r:id="rId13"/>
    <externalReference r:id="rId14"/>
    <externalReference r:id="rId15"/>
  </externalReferences>
  <definedNames>
    <definedName name="__IntlFixup" hidden="1">TRUE</definedName>
    <definedName name="AccessDatabase" hidden="1">"C:\My Documents\MAUI MALL1.mdb"</definedName>
    <definedName name="ACwvu.CapersView." localSheetId="9" hidden="1">[1]MASTER!#REF!</definedName>
    <definedName name="ACwvu.CapersView." localSheetId="10" hidden="1">[1]MASTER!#REF!</definedName>
    <definedName name="ACwvu.CapersView." localSheetId="1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9" hidden="1">#REF!</definedName>
    <definedName name="ACwvu.Japan_Capers_Ed_Pub." localSheetId="10" hidden="1">#REF!</definedName>
    <definedName name="ACwvu.Japan_Capers_Ed_Pub." localSheetId="11" hidden="1">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9" hidden="1">#REF!</definedName>
    <definedName name="ACwvu.KJP_CC." localSheetId="10" hidden="1">#REF!</definedName>
    <definedName name="ACwvu.KJP_CC." localSheetId="11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nscount" hidden="1">4</definedName>
    <definedName name="BANK">KASUS12!$B$14:$H$73</definedName>
    <definedName name="Cwvu.CapersView." localSheetId="9" hidden="1">[1]MASTER!#REF!</definedName>
    <definedName name="Cwvu.CapersView." localSheetId="10" hidden="1">[1]MASTER!#REF!</definedName>
    <definedName name="Cwvu.CapersView." localSheetId="1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9" hidden="1">[1]MASTER!#REF!</definedName>
    <definedName name="Cwvu.Japan_Capers_Ed_Pub." localSheetId="10" hidden="1">[1]MASTER!#REF!</definedName>
    <definedName name="Cwvu.Japan_Capers_Ed_Pub." localSheetId="1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10" hidden="1">{"'PRODUCTIONCOST SHEET'!$B$3:$G$48"}</definedName>
    <definedName name="HTML_Control" localSheetId="11" hidden="1">{"'PRODUCTIONCOST SHEET'!$B$3:$G$48"}</definedName>
    <definedName name="HTML_Control" localSheetId="8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etek" localSheetId="10" hidden="1">[1]MASTER!#REF!</definedName>
    <definedName name="ketek" localSheetId="2" hidden="1">[1]MASTER!#REF!</definedName>
    <definedName name="ketek" localSheetId="3" hidden="1">[1]MASTER!#REF!</definedName>
    <definedName name="ketek" localSheetId="4" hidden="1">[1]MASTER!#REF!</definedName>
    <definedName name="ketek" localSheetId="6" hidden="1">[1]MASTER!#REF!</definedName>
    <definedName name="ketek" localSheetId="7" hidden="1">[1]MASTER!#REF!</definedName>
    <definedName name="ketek" localSheetId="8" hidden="1">[1]MASTER!#REF!</definedName>
    <definedName name="ketek" hidden="1">[1]MASTER!#REF!</definedName>
    <definedName name="limcount" hidden="1">3</definedName>
    <definedName name="PILIHAN">KASUS12!$A$3</definedName>
    <definedName name="PINJAM" localSheetId="10">KASUS11!$B$17:$C$46</definedName>
    <definedName name="RATE">KASUS12!$O$13:$S$17</definedName>
    <definedName name="Rwvu.CapersView." localSheetId="9" hidden="1">#REF!</definedName>
    <definedName name="Rwvu.CapersView." localSheetId="10" hidden="1">#REF!</definedName>
    <definedName name="Rwvu.CapersView." localSheetId="11" hidden="1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9" hidden="1">#REF!</definedName>
    <definedName name="Rwvu.Japan_Capers_Ed_Pub." localSheetId="10" hidden="1">#REF!</definedName>
    <definedName name="Rwvu.Japan_Capers_Ed_Pub." localSheetId="11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9" hidden="1">#REF!</definedName>
    <definedName name="Rwvu.KJP_CC." localSheetId="10" hidden="1">#REF!</definedName>
    <definedName name="Rwvu.KJP_CC." localSheetId="11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encount" hidden="1">3</definedName>
    <definedName name="ss" localSheetId="9" hidden="1">[1]MASTER!#REF!</definedName>
    <definedName name="ss" localSheetId="10" hidden="1">[1]MASTER!#REF!</definedName>
    <definedName name="ss" localSheetId="11" hidden="1">[1]MASTER!#REF!</definedName>
    <definedName name="ss" localSheetId="2" hidden="1">[1]MASTER!#REF!</definedName>
    <definedName name="ss" localSheetId="3" hidden="1">[1]MASTER!#REF!</definedName>
    <definedName name="ss" localSheetId="4" hidden="1">[1]MASTER!#REF!</definedName>
    <definedName name="ss" localSheetId="6" hidden="1">[1]MASTER!#REF!</definedName>
    <definedName name="ss" localSheetId="7" hidden="1">[1]MASTER!#REF!</definedName>
    <definedName name="ss" localSheetId="8" hidden="1">[1]MASTER!#REF!</definedName>
    <definedName name="ss" hidden="1">[1]MASTER!#REF!</definedName>
    <definedName name="Swvu.CapersView." localSheetId="9" hidden="1">[1]MASTER!#REF!</definedName>
    <definedName name="Swvu.CapersView." localSheetId="10" hidden="1">[1]MASTER!#REF!</definedName>
    <definedName name="Swvu.CapersView." localSheetId="1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9" hidden="1">#REF!</definedName>
    <definedName name="Swvu.Japan_Capers_Ed_Pub." localSheetId="10" hidden="1">#REF!</definedName>
    <definedName name="Swvu.Japan_Capers_Ed_Pub." localSheetId="11" hidden="1">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9" hidden="1">#REF!</definedName>
    <definedName name="Swvu.KJP_CC." localSheetId="10" hidden="1">#REF!</definedName>
    <definedName name="Swvu.KJP_CC." localSheetId="11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rte" localSheetId="10" hidden="1">{#N/A,#N/A,FALSE,"PRJCTED QTRLY $'s"}</definedName>
    <definedName name="trte" localSheetId="11" hidden="1">{#N/A,#N/A,FALSE,"PRJCTED QTRLY $'s"}</definedName>
    <definedName name="trte" localSheetId="8" hidden="1">{#N/A,#N/A,FALSE,"PRJCTED QTRLY $'s"}</definedName>
    <definedName name="trte" hidden="1">{#N/A,#N/A,FALSE,"PRJCTED QTRLY $'s"}</definedName>
    <definedName name="v" localSheetId="11" hidden="1">{"'PRODUCTIONCOST SHEET'!$B$3:$G$48"}</definedName>
    <definedName name="v" localSheetId="8" hidden="1">{"'PRODUCTIONCOST SHEET'!$B$3:$G$48"}</definedName>
    <definedName name="v" hidden="1">{"'PRODUCTIONCOST SHEET'!$B$3:$G$48"}</definedName>
    <definedName name="vvv" localSheetId="10" hidden="1">{"Japan_Capers_Ed_Pub",#N/A,FALSE,"DI 2 YEAR MASTER SCHEDULE"}</definedName>
    <definedName name="vvv" localSheetId="11" hidden="1">{"Japan_Capers_Ed_Pub",#N/A,FALSE,"DI 2 YEAR MASTER SCHEDULE"}</definedName>
    <definedName name="vvv" localSheetId="8" hidden="1">{"Japan_Capers_Ed_Pub",#N/A,FALSE,"DI 2 YEAR MASTER SCHEDULE"}</definedName>
    <definedName name="vvv" hidden="1">{"Japan_Capers_Ed_Pub",#N/A,FALSE,"DI 2 YEAR MASTER SCHEDULE"}</definedName>
    <definedName name="vvvv" localSheetId="10" hidden="1">{#N/A,#N/A,FALSE,"PRJCTED MNTHLY QTY's"}</definedName>
    <definedName name="vvvv" localSheetId="11" hidden="1">{#N/A,#N/A,FALSE,"PRJCTED MNTHLY QTY's"}</definedName>
    <definedName name="vvvv" localSheetId="8" hidden="1">{#N/A,#N/A,FALSE,"PRJCTED MNTHLY QTY's"}</definedName>
    <definedName name="vvvv" hidden="1">{#N/A,#N/A,FALSE,"PRJCTED MNTHLY QTY's"}</definedName>
    <definedName name="wrn.CapersPlotter." localSheetId="10" hidden="1">{#N/A,#N/A,FALSE,"DI 2 YEAR MASTER SCHEDULE"}</definedName>
    <definedName name="wrn.CapersPlotter." localSheetId="11" hidden="1">{#N/A,#N/A,FALSE,"DI 2 YEAR MASTER SCHEDULE"}</definedName>
    <definedName name="wrn.CapersPlotter." localSheetId="8" hidden="1">{#N/A,#N/A,FALSE,"DI 2 YEAR MASTER SCHEDULE"}</definedName>
    <definedName name="wrn.CapersPlotter." hidden="1">{#N/A,#N/A,FALSE,"DI 2 YEAR MASTER SCHEDULE"}</definedName>
    <definedName name="wrn.Edutainment._.Priority._.List." localSheetId="10" hidden="1">{#N/A,#N/A,FALSE,"DI 2 YEAR MASTER SCHEDULE"}</definedName>
    <definedName name="wrn.Edutainment._.Priority._.List." localSheetId="11" hidden="1">{#N/A,#N/A,FALSE,"DI 2 YEAR MASTER SCHEDULE"}</definedName>
    <definedName name="wrn.Edutainment._.Priority._.List." localSheetId="8" hidden="1">{#N/A,#N/A,FALSE,"DI 2 YEAR MASTER SCHEDULE"}</definedName>
    <definedName name="wrn.Edutainment._.Priority._.List." hidden="1">{#N/A,#N/A,FALSE,"DI 2 YEAR MASTER SCHEDULE"}</definedName>
    <definedName name="wrn.Japan_Capers_Ed._.Pub." localSheetId="10" hidden="1">{"Japan_Capers_Ed_Pub",#N/A,FALSE,"DI 2 YEAR MASTER SCHEDULE"}</definedName>
    <definedName name="wrn.Japan_Capers_Ed._.Pub." localSheetId="11" hidden="1">{"Japan_Capers_Ed_Pub",#N/A,FALSE,"DI 2 YEAR MASTER SCHEDULE"}</definedName>
    <definedName name="wrn.Japan_Capers_Ed._.Pub." localSheetId="8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0" hidden="1">{#N/A,#N/A,FALSE,"DI 2 YEAR MASTER SCHEDULE"}</definedName>
    <definedName name="wrn.Priority._.list." localSheetId="11" hidden="1">{#N/A,#N/A,FALSE,"DI 2 YEAR MASTER SCHEDULE"}</definedName>
    <definedName name="wrn.Priority._.list." localSheetId="8" hidden="1">{#N/A,#N/A,FALSE,"DI 2 YEAR MASTER SCHEDULE"}</definedName>
    <definedName name="wrn.Priority._.list." hidden="1">{#N/A,#N/A,FALSE,"DI 2 YEAR MASTER SCHEDULE"}</definedName>
    <definedName name="wrn.Prjcted._.Mnthly._.Qtys." localSheetId="10" hidden="1">{#N/A,#N/A,FALSE,"PRJCTED MNTHLY QTY's"}</definedName>
    <definedName name="wrn.Prjcted._.Mnthly._.Qtys." localSheetId="11" hidden="1">{#N/A,#N/A,FALSE,"PRJCTED MNTHLY QTY's"}</definedName>
    <definedName name="wrn.Prjcted._.Mnthly._.Qtys." localSheetId="8" hidden="1">{#N/A,#N/A,FALSE,"PRJCTED MNTHLY QTY's"}</definedName>
    <definedName name="wrn.Prjcted._.Mnthly._.Qtys." hidden="1">{#N/A,#N/A,FALSE,"PRJCTED MNTHLY QTY's"}</definedName>
    <definedName name="wrn.Prjcted._.Qtrly._.Dollars." localSheetId="10" hidden="1">{#N/A,#N/A,FALSE,"PRJCTED QTRLY $'s"}</definedName>
    <definedName name="wrn.Prjcted._.Qtrly._.Dollars." localSheetId="11" hidden="1">{#N/A,#N/A,FALSE,"PRJCTED QTRLY $'s"}</definedName>
    <definedName name="wrn.Prjcted._.Qtrly._.Dollars." localSheetId="8" hidden="1">{#N/A,#N/A,FALSE,"PRJCTED QTRLY $'s"}</definedName>
    <definedName name="wrn.Prjcted._.Qtrly._.Dollars." hidden="1">{#N/A,#N/A,FALSE,"PRJCTED QTRLY $'s"}</definedName>
    <definedName name="wrn.Prjcted._.Qtrly._.Qtys." localSheetId="10" hidden="1">{#N/A,#N/A,FALSE,"PRJCTED QTRLY QTY's"}</definedName>
    <definedName name="wrn.Prjcted._.Qtrly._.Qtys." localSheetId="11" hidden="1">{#N/A,#N/A,FALSE,"PRJCTED QTRLY QTY's"}</definedName>
    <definedName name="wrn.Prjcted._.Qtrly._.Qtys." localSheetId="8" hidden="1">{#N/A,#N/A,FALSE,"PRJCTED QTRLY QTY's"}</definedName>
    <definedName name="wrn.Prjcted._.Qtrly._.Qtys." hidden="1">{#N/A,#N/A,FALSE,"PRJCTED QTRLY QTY's"}</definedName>
    <definedName name="wvu.CapersView." localSheetId="1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10" hidden="1">[2]lookup_trend!$D$2:$D$14</definedName>
    <definedName name="x" localSheetId="11" hidden="1">[3]lookup_trend!$D$2:$D$14</definedName>
    <definedName name="x" localSheetId="8" hidden="1">[3]lookup_trend!$D$2:$D$14</definedName>
    <definedName name="x" hidden="1">[3]lookup_trend!$D$2:$D$14</definedName>
    <definedName name="XDDDD" localSheetId="9" hidden="1">[1]MASTER!#REF!</definedName>
    <definedName name="XDDDD" localSheetId="10" hidden="1">[1]MASTER!#REF!</definedName>
    <definedName name="XDDDD" localSheetId="11" hidden="1">[1]MASTER!#REF!</definedName>
    <definedName name="XDDDD" localSheetId="6" hidden="1">[1]MASTER!#REF!</definedName>
    <definedName name="XDDDD" localSheetId="7" hidden="1">[1]MASTER!#REF!</definedName>
    <definedName name="XDDDD" localSheetId="8" hidden="1">[1]MASTER!#REF!</definedName>
    <definedName name="XDDDD" hidden="1">[1]MASTER!#REF!</definedName>
    <definedName name="XXX" localSheetId="10" hidden="1">{"'PRODUCTIONCOST SHEET'!$B$3:$G$48"}</definedName>
    <definedName name="XXX" localSheetId="11" hidden="1">{"'PRODUCTIONCOST SHEET'!$B$3:$G$48"}</definedName>
    <definedName name="XXX" localSheetId="8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9" hidden="1">#REF!</definedName>
    <definedName name="Z_9A428CE1_B4D9_11D0_A8AA_0000C071AEE7_.wvu.PrintArea" localSheetId="10" hidden="1">#REF!</definedName>
    <definedName name="Z_9A428CE1_B4D9_11D0_A8AA_0000C071AEE7_.wvu.PrintArea" localSheetId="11" hidden="1">#REF!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9" l="1"/>
  <c r="E7" i="19"/>
  <c r="E6" i="19"/>
  <c r="E4" i="19"/>
  <c r="E3" i="19"/>
  <c r="P17" i="22"/>
  <c r="O17" i="22"/>
  <c r="S17" i="22" s="1"/>
  <c r="O16" i="22"/>
  <c r="P15" i="22"/>
  <c r="O15" i="22"/>
  <c r="S15" i="22" s="1"/>
  <c r="B15" i="22"/>
  <c r="Q14" i="22"/>
  <c r="O14" i="22"/>
  <c r="C14" i="22"/>
  <c r="A14" i="22" s="1"/>
  <c r="Q13" i="22"/>
  <c r="P13" i="22"/>
  <c r="O13" i="22"/>
  <c r="F12" i="22"/>
  <c r="L12" i="22" s="1"/>
  <c r="E9" i="22"/>
  <c r="E8" i="22"/>
  <c r="E7" i="22"/>
  <c r="H6" i="22"/>
  <c r="J14" i="22" s="1"/>
  <c r="E6" i="22"/>
  <c r="H5" i="22"/>
  <c r="E5" i="22"/>
  <c r="B4" i="22"/>
  <c r="L7" i="22" l="1"/>
  <c r="B16" i="22"/>
  <c r="C15" i="22"/>
  <c r="A15" i="22"/>
  <c r="D14" i="22"/>
  <c r="R13" i="22"/>
  <c r="H9" i="22"/>
  <c r="J15" i="22" s="1"/>
  <c r="S13" i="22"/>
  <c r="F14" i="22" s="1"/>
  <c r="P14" i="22"/>
  <c r="S14" i="22"/>
  <c r="Q16" i="22"/>
  <c r="S16" i="22"/>
  <c r="Q15" i="22"/>
  <c r="P16" i="22"/>
  <c r="Q17" i="22"/>
  <c r="J16" i="22" l="1"/>
  <c r="F15" i="22"/>
  <c r="E15" i="22"/>
  <c r="F16" i="22"/>
  <c r="B17" i="22"/>
  <c r="E16" i="22"/>
  <c r="G16" i="22" s="1"/>
  <c r="C16" i="22"/>
  <c r="A16" i="22" s="1"/>
  <c r="E14" i="22"/>
  <c r="G14" i="22" l="1"/>
  <c r="H8" i="22" s="1"/>
  <c r="J17" i="22"/>
  <c r="H14" i="22"/>
  <c r="D15" i="22" s="1"/>
  <c r="H15" i="22" s="1"/>
  <c r="D16" i="22" s="1"/>
  <c r="H16" i="22" s="1"/>
  <c r="D17" i="22" s="1"/>
  <c r="B18" i="22"/>
  <c r="E17" i="22"/>
  <c r="C17" i="22"/>
  <c r="A17" i="22" s="1"/>
  <c r="F17" i="22"/>
  <c r="G15" i="22"/>
  <c r="G17" i="22" l="1"/>
  <c r="H17" i="22"/>
  <c r="J18" i="22"/>
  <c r="B19" i="22"/>
  <c r="F18" i="22"/>
  <c r="D18" i="22"/>
  <c r="E18" i="22"/>
  <c r="G18" i="22" s="1"/>
  <c r="C18" i="22"/>
  <c r="A18" i="22" s="1"/>
  <c r="H18" i="22" l="1"/>
  <c r="B20" i="22"/>
  <c r="F19" i="22"/>
  <c r="D19" i="22"/>
  <c r="E19" i="22"/>
  <c r="G19" i="22" s="1"/>
  <c r="C19" i="22"/>
  <c r="A19" i="22" s="1"/>
  <c r="J19" i="22"/>
  <c r="H19" i="22" l="1"/>
  <c r="M19" i="22"/>
  <c r="K19" i="22"/>
  <c r="L19" i="22"/>
  <c r="B21" i="22"/>
  <c r="F20" i="22"/>
  <c r="D20" i="22"/>
  <c r="E20" i="22"/>
  <c r="G20" i="22" s="1"/>
  <c r="C20" i="22"/>
  <c r="A20" i="22"/>
  <c r="H20" i="22" l="1"/>
  <c r="B22" i="22"/>
  <c r="F21" i="22"/>
  <c r="D21" i="22"/>
  <c r="E21" i="22"/>
  <c r="G21" i="22" s="1"/>
  <c r="C21" i="22"/>
  <c r="A21" i="22" s="1"/>
  <c r="H21" i="22" l="1"/>
  <c r="D22" i="22" s="1"/>
  <c r="B23" i="22"/>
  <c r="F22" i="22"/>
  <c r="E22" i="22"/>
  <c r="G22" i="22" s="1"/>
  <c r="C22" i="22"/>
  <c r="A22" i="22" s="1"/>
  <c r="H22" i="22" l="1"/>
  <c r="B24" i="22"/>
  <c r="F23" i="22"/>
  <c r="D23" i="22"/>
  <c r="E23" i="22"/>
  <c r="C23" i="22"/>
  <c r="A23" i="22" s="1"/>
  <c r="G23" i="22" l="1"/>
  <c r="H23" i="22"/>
  <c r="D24" i="22" s="1"/>
  <c r="B25" i="22"/>
  <c r="F24" i="22"/>
  <c r="E24" i="22"/>
  <c r="C24" i="22"/>
  <c r="A24" i="22" s="1"/>
  <c r="G24" i="22" l="1"/>
  <c r="H24" i="22"/>
  <c r="D25" i="22" s="1"/>
  <c r="B26" i="22"/>
  <c r="F25" i="22"/>
  <c r="E25" i="22"/>
  <c r="C25" i="22"/>
  <c r="A25" i="22" s="1"/>
  <c r="G25" i="22" l="1"/>
  <c r="H25" i="22"/>
  <c r="B27" i="22"/>
  <c r="D26" i="22"/>
  <c r="C26" i="22"/>
  <c r="A26" i="22"/>
  <c r="B28" i="22" l="1"/>
  <c r="C27" i="22"/>
  <c r="A27" i="22" s="1"/>
  <c r="B29" i="22" l="1"/>
  <c r="C28" i="22"/>
  <c r="A28" i="22" s="1"/>
  <c r="B30" i="22" l="1"/>
  <c r="C29" i="22"/>
  <c r="A29" i="22" s="1"/>
  <c r="B31" i="22" l="1"/>
  <c r="C30" i="22"/>
  <c r="A30" i="22" s="1"/>
  <c r="B32" i="22" l="1"/>
  <c r="C31" i="22"/>
  <c r="A31" i="22" s="1"/>
  <c r="B33" i="22" l="1"/>
  <c r="C32" i="22"/>
  <c r="A32" i="22" s="1"/>
  <c r="B34" i="22" l="1"/>
  <c r="C33" i="22"/>
  <c r="A33" i="22" s="1"/>
  <c r="B35" i="22" l="1"/>
  <c r="C34" i="22"/>
  <c r="A34" i="22" s="1"/>
  <c r="B36" i="22" l="1"/>
  <c r="C35" i="22"/>
  <c r="A35" i="22" s="1"/>
  <c r="B37" i="22" l="1"/>
  <c r="C36" i="22"/>
  <c r="A36" i="22" s="1"/>
  <c r="B38" i="22" l="1"/>
  <c r="C37" i="22"/>
  <c r="A37" i="22" s="1"/>
  <c r="B39" i="22" l="1"/>
  <c r="C38" i="22"/>
  <c r="A38" i="22" s="1"/>
  <c r="B40" i="22" l="1"/>
  <c r="C39" i="22"/>
  <c r="A39" i="22" s="1"/>
  <c r="B41" i="22" l="1"/>
  <c r="C40" i="22"/>
  <c r="A40" i="22" s="1"/>
  <c r="B42" i="22" l="1"/>
  <c r="C41" i="22"/>
  <c r="A41" i="22" s="1"/>
  <c r="B43" i="22" l="1"/>
  <c r="C42" i="22"/>
  <c r="A42" i="22" s="1"/>
  <c r="B44" i="22" l="1"/>
  <c r="C43" i="22"/>
  <c r="A43" i="22" s="1"/>
  <c r="R14" i="22"/>
  <c r="F26" i="22" l="1"/>
  <c r="E26" i="22"/>
  <c r="E27" i="22"/>
  <c r="F27" i="22"/>
  <c r="F28" i="22"/>
  <c r="E28" i="22"/>
  <c r="G28" i="22" s="1"/>
  <c r="F29" i="22"/>
  <c r="E29" i="22"/>
  <c r="G29" i="22" s="1"/>
  <c r="F30" i="22"/>
  <c r="E30" i="22"/>
  <c r="G30" i="22" s="1"/>
  <c r="F31" i="22"/>
  <c r="E31" i="22"/>
  <c r="G31" i="22" s="1"/>
  <c r="F32" i="22"/>
  <c r="E32" i="22"/>
  <c r="G32" i="22" s="1"/>
  <c r="F33" i="22"/>
  <c r="E33" i="22"/>
  <c r="G33" i="22" s="1"/>
  <c r="F34" i="22"/>
  <c r="E34" i="22"/>
  <c r="G34" i="22" s="1"/>
  <c r="F35" i="22"/>
  <c r="E35" i="22"/>
  <c r="G35" i="22" s="1"/>
  <c r="F36" i="22"/>
  <c r="E36" i="22"/>
  <c r="G36" i="22" s="1"/>
  <c r="F37" i="22"/>
  <c r="E37" i="22"/>
  <c r="G37" i="22" s="1"/>
  <c r="B45" i="22"/>
  <c r="C44" i="22"/>
  <c r="A44" i="22" s="1"/>
  <c r="G26" i="22" l="1"/>
  <c r="H26" i="22"/>
  <c r="D27" i="22" s="1"/>
  <c r="H27" i="22" s="1"/>
  <c r="D28" i="22" s="1"/>
  <c r="H28" i="22" s="1"/>
  <c r="D29" i="22" s="1"/>
  <c r="H29" i="22" s="1"/>
  <c r="D30" i="22" s="1"/>
  <c r="H30" i="22" s="1"/>
  <c r="D31" i="22" s="1"/>
  <c r="H31" i="22" s="1"/>
  <c r="D32" i="22" s="1"/>
  <c r="H32" i="22" s="1"/>
  <c r="D33" i="22" s="1"/>
  <c r="H33" i="22" s="1"/>
  <c r="D34" i="22" s="1"/>
  <c r="H34" i="22" s="1"/>
  <c r="D35" i="22" s="1"/>
  <c r="H35" i="22" s="1"/>
  <c r="D36" i="22" s="1"/>
  <c r="H36" i="22" s="1"/>
  <c r="D37" i="22" s="1"/>
  <c r="H37" i="22" s="1"/>
  <c r="B46" i="22"/>
  <c r="C45" i="22"/>
  <c r="A45" i="22" s="1"/>
  <c r="G27" i="22"/>
  <c r="D38" i="22" l="1"/>
  <c r="R15" i="22"/>
  <c r="B47" i="22"/>
  <c r="C46" i="22"/>
  <c r="A46" i="22" s="1"/>
  <c r="F38" i="22" l="1"/>
  <c r="E38" i="22"/>
  <c r="F39" i="22"/>
  <c r="E39" i="22"/>
  <c r="F40" i="22"/>
  <c r="E40" i="22"/>
  <c r="F41" i="22"/>
  <c r="E41" i="22"/>
  <c r="F42" i="22"/>
  <c r="E42" i="22"/>
  <c r="F43" i="22"/>
  <c r="E43" i="22"/>
  <c r="F44" i="22"/>
  <c r="E44" i="22"/>
  <c r="F45" i="22"/>
  <c r="E45" i="22"/>
  <c r="E46" i="22"/>
  <c r="F46" i="22"/>
  <c r="B48" i="22"/>
  <c r="F47" i="22"/>
  <c r="C47" i="22"/>
  <c r="E47" i="22"/>
  <c r="G47" i="22" s="1"/>
  <c r="A47" i="22"/>
  <c r="G45" i="22" l="1"/>
  <c r="G44" i="22"/>
  <c r="G43" i="22"/>
  <c r="G42" i="22"/>
  <c r="G41" i="22"/>
  <c r="G40" i="22"/>
  <c r="G39" i="22"/>
  <c r="G38" i="22"/>
  <c r="H38" i="22"/>
  <c r="D39" i="22" s="1"/>
  <c r="H39" i="22" s="1"/>
  <c r="D40" i="22" s="1"/>
  <c r="H40" i="22" s="1"/>
  <c r="D41" i="22" s="1"/>
  <c r="H41" i="22" s="1"/>
  <c r="D42" i="22" s="1"/>
  <c r="H42" i="22" s="1"/>
  <c r="D43" i="22" s="1"/>
  <c r="H43" i="22" s="1"/>
  <c r="D44" i="22" s="1"/>
  <c r="H44" i="22" s="1"/>
  <c r="D45" i="22" s="1"/>
  <c r="H45" i="22" s="1"/>
  <c r="D46" i="22" s="1"/>
  <c r="H46" i="22" s="1"/>
  <c r="D47" i="22" s="1"/>
  <c r="H47" i="22" s="1"/>
  <c r="B49" i="22"/>
  <c r="F48" i="22"/>
  <c r="D48" i="22"/>
  <c r="C48" i="22"/>
  <c r="E48" i="22"/>
  <c r="G48" i="22" s="1"/>
  <c r="A48" i="22"/>
  <c r="G46" i="22"/>
  <c r="H48" i="22" l="1"/>
  <c r="D49" i="22" s="1"/>
  <c r="B50" i="22"/>
  <c r="F49" i="22"/>
  <c r="C49" i="22"/>
  <c r="E49" i="22"/>
  <c r="A49" i="22"/>
  <c r="G49" i="22" l="1"/>
  <c r="H49" i="22"/>
  <c r="B51" i="22"/>
  <c r="D50" i="22"/>
  <c r="C50" i="22"/>
  <c r="A50" i="22" s="1"/>
  <c r="B52" i="22" l="1"/>
  <c r="C51" i="22"/>
  <c r="A51" i="22" s="1"/>
  <c r="B53" i="22" l="1"/>
  <c r="C52" i="22"/>
  <c r="A52" i="22" s="1"/>
  <c r="B54" i="22" l="1"/>
  <c r="C53" i="22"/>
  <c r="A53" i="22" s="1"/>
  <c r="B55" i="22" l="1"/>
  <c r="C54" i="22"/>
  <c r="A54" i="22" s="1"/>
  <c r="B56" i="22" l="1"/>
  <c r="C55" i="22"/>
  <c r="A55" i="22" s="1"/>
  <c r="B57" i="22" l="1"/>
  <c r="C56" i="22"/>
  <c r="A56" i="22" s="1"/>
  <c r="B58" i="22" l="1"/>
  <c r="C57" i="22"/>
  <c r="A57" i="22" s="1"/>
  <c r="B59" i="22" l="1"/>
  <c r="C58" i="22"/>
  <c r="A58" i="22" s="1"/>
  <c r="R16" i="22"/>
  <c r="F50" i="22" l="1"/>
  <c r="E50" i="22"/>
  <c r="F51" i="22"/>
  <c r="E51" i="22"/>
  <c r="G51" i="22" s="1"/>
  <c r="F52" i="22"/>
  <c r="E52" i="22"/>
  <c r="G52" i="22" s="1"/>
  <c r="F53" i="22"/>
  <c r="E53" i="22"/>
  <c r="G53" i="22" s="1"/>
  <c r="F54" i="22"/>
  <c r="E54" i="22"/>
  <c r="G54" i="22" s="1"/>
  <c r="F55" i="22"/>
  <c r="E55" i="22"/>
  <c r="G55" i="22" s="1"/>
  <c r="F56" i="22"/>
  <c r="E56" i="22"/>
  <c r="G56" i="22" s="1"/>
  <c r="F57" i="22"/>
  <c r="E57" i="22"/>
  <c r="G57" i="22" s="1"/>
  <c r="E58" i="22"/>
  <c r="F58" i="22"/>
  <c r="B60" i="22"/>
  <c r="F59" i="22"/>
  <c r="C59" i="22"/>
  <c r="E59" i="22"/>
  <c r="G59" i="22" s="1"/>
  <c r="A59" i="22"/>
  <c r="G50" i="22" l="1"/>
  <c r="H50" i="22"/>
  <c r="D51" i="22" s="1"/>
  <c r="H51" i="22" s="1"/>
  <c r="D52" i="22" s="1"/>
  <c r="H52" i="22" s="1"/>
  <c r="D53" i="22" s="1"/>
  <c r="H53" i="22" s="1"/>
  <c r="D54" i="22" s="1"/>
  <c r="H54" i="22" s="1"/>
  <c r="D55" i="22" s="1"/>
  <c r="H55" i="22" s="1"/>
  <c r="D56" i="22" s="1"/>
  <c r="H56" i="22" s="1"/>
  <c r="D57" i="22" s="1"/>
  <c r="H57" i="22" s="1"/>
  <c r="D58" i="22" s="1"/>
  <c r="H58" i="22" s="1"/>
  <c r="D59" i="22" s="1"/>
  <c r="H59" i="22" s="1"/>
  <c r="D60" i="22" s="1"/>
  <c r="B61" i="22"/>
  <c r="F60" i="22"/>
  <c r="C60" i="22"/>
  <c r="E60" i="22"/>
  <c r="A60" i="22"/>
  <c r="G58" i="22"/>
  <c r="H60" i="22" l="1"/>
  <c r="G60" i="22"/>
  <c r="B62" i="22"/>
  <c r="F61" i="22"/>
  <c r="D61" i="22"/>
  <c r="C61" i="22"/>
  <c r="E61" i="22"/>
  <c r="A61" i="22"/>
  <c r="G61" i="22" l="1"/>
  <c r="H61" i="22"/>
  <c r="B63" i="22"/>
  <c r="D62" i="22"/>
  <c r="C62" i="22"/>
  <c r="A62" i="22" s="1"/>
  <c r="B64" i="22" l="1"/>
  <c r="C63" i="22"/>
  <c r="A63" i="22" s="1"/>
  <c r="B65" i="22" l="1"/>
  <c r="C64" i="22"/>
  <c r="A64" i="22" s="1"/>
  <c r="B66" i="22" l="1"/>
  <c r="C65" i="22"/>
  <c r="A65" i="22" s="1"/>
  <c r="B67" i="22" l="1"/>
  <c r="C66" i="22"/>
  <c r="A66" i="22" s="1"/>
  <c r="R17" i="22"/>
  <c r="F62" i="22" l="1"/>
  <c r="E62" i="22"/>
  <c r="F63" i="22"/>
  <c r="E63" i="22"/>
  <c r="G63" i="22" s="1"/>
  <c r="F64" i="22"/>
  <c r="E64" i="22"/>
  <c r="G64" i="22" s="1"/>
  <c r="F65" i="22"/>
  <c r="E65" i="22"/>
  <c r="G65" i="22" s="1"/>
  <c r="E66" i="22"/>
  <c r="F66" i="22"/>
  <c r="B68" i="22"/>
  <c r="F67" i="22"/>
  <c r="C67" i="22"/>
  <c r="E67" i="22"/>
  <c r="G67" i="22" s="1"/>
  <c r="A67" i="22"/>
  <c r="G62" i="22" l="1"/>
  <c r="H62" i="22"/>
  <c r="D63" i="22" s="1"/>
  <c r="H63" i="22" s="1"/>
  <c r="D64" i="22" s="1"/>
  <c r="H64" i="22" s="1"/>
  <c r="D65" i="22" s="1"/>
  <c r="H65" i="22" s="1"/>
  <c r="D66" i="22" s="1"/>
  <c r="H66" i="22" s="1"/>
  <c r="D67" i="22" s="1"/>
  <c r="H67" i="22" s="1"/>
  <c r="D68" i="22" s="1"/>
  <c r="B69" i="22"/>
  <c r="F68" i="22"/>
  <c r="C68" i="22"/>
  <c r="E68" i="22"/>
  <c r="A68" i="22"/>
  <c r="G66" i="22"/>
  <c r="H68" i="22" l="1"/>
  <c r="G68" i="22"/>
  <c r="B70" i="22"/>
  <c r="F69" i="22"/>
  <c r="D69" i="22"/>
  <c r="C69" i="22"/>
  <c r="E69" i="22"/>
  <c r="A69" i="22"/>
  <c r="G69" i="22" l="1"/>
  <c r="H69" i="22"/>
  <c r="D70" i="22" s="1"/>
  <c r="B71" i="22"/>
  <c r="F70" i="22"/>
  <c r="C70" i="22"/>
  <c r="E70" i="22"/>
  <c r="A70" i="22"/>
  <c r="G70" i="22" l="1"/>
  <c r="H70" i="22"/>
  <c r="D71" i="22" s="1"/>
  <c r="B72" i="22"/>
  <c r="F71" i="22"/>
  <c r="C71" i="22"/>
  <c r="E71" i="22"/>
  <c r="A71" i="22"/>
  <c r="G71" i="22" l="1"/>
  <c r="H71" i="22"/>
  <c r="D72" i="22" s="1"/>
  <c r="B73" i="22"/>
  <c r="F72" i="22"/>
  <c r="C72" i="22"/>
  <c r="E72" i="22"/>
  <c r="A72" i="22"/>
  <c r="G72" i="22" l="1"/>
  <c r="H72" i="22"/>
  <c r="F73" i="22"/>
  <c r="D73" i="22"/>
  <c r="C73" i="22"/>
  <c r="E73" i="22"/>
  <c r="A73" i="22"/>
  <c r="G73" i="22" l="1"/>
  <c r="H73" i="22"/>
  <c r="L14" i="22"/>
  <c r="L15" i="22"/>
  <c r="K14" i="22"/>
  <c r="K15" i="22"/>
  <c r="M15" i="22" s="1"/>
  <c r="K16" i="22"/>
  <c r="L16" i="22"/>
  <c r="K18" i="22"/>
  <c r="K17" i="22"/>
  <c r="L17" i="22"/>
  <c r="L18" i="22"/>
  <c r="M17" i="22" l="1"/>
  <c r="M18" i="22"/>
  <c r="M16" i="22"/>
  <c r="K9" i="22"/>
  <c r="M14" i="22"/>
  <c r="L9" i="22"/>
  <c r="M9" i="22" l="1"/>
  <c r="C18" i="21"/>
  <c r="C19" i="21" s="1"/>
  <c r="F14" i="21" l="1"/>
  <c r="C13" i="21"/>
  <c r="C5" i="21"/>
  <c r="F5" i="21" s="1"/>
  <c r="C3" i="21"/>
  <c r="C12" i="21" s="1"/>
  <c r="B20" i="21"/>
  <c r="F13" i="21" l="1"/>
  <c r="C6" i="21"/>
  <c r="C14" i="21" s="1"/>
  <c r="F15" i="21" s="1"/>
  <c r="E9" i="21" s="1"/>
  <c r="F9" i="21" s="1"/>
  <c r="F16" i="21" l="1"/>
  <c r="G11" i="19" l="1"/>
  <c r="E11" i="19"/>
  <c r="C17" i="19"/>
  <c r="D5" i="19"/>
  <c r="B2" i="18"/>
  <c r="H8" i="18"/>
  <c r="G7" i="18"/>
  <c r="D7" i="18"/>
  <c r="D5" i="18"/>
  <c r="D4" i="18"/>
  <c r="H7" i="17"/>
  <c r="G6" i="17"/>
  <c r="D6" i="17"/>
  <c r="D4" i="17"/>
  <c r="D3" i="17"/>
  <c r="H7" i="16"/>
  <c r="G6" i="16"/>
  <c r="D6" i="16"/>
  <c r="D4" i="16"/>
  <c r="B5" i="16" s="1"/>
  <c r="D3" i="16"/>
  <c r="C7" i="13"/>
  <c r="I6" i="13"/>
  <c r="C6" i="13"/>
  <c r="C8" i="13" s="1"/>
  <c r="I5" i="13"/>
  <c r="I4" i="13"/>
  <c r="F10" i="13" s="1"/>
  <c r="D5" i="17" l="1"/>
  <c r="D10" i="17" s="1"/>
  <c r="B5" i="17"/>
  <c r="D8" i="17"/>
  <c r="H5" i="17" s="1"/>
  <c r="B6" i="18"/>
  <c r="D6" i="18"/>
  <c r="H5" i="18" s="1"/>
  <c r="M17" i="19"/>
  <c r="K17" i="19"/>
  <c r="I17" i="19"/>
  <c r="G17" i="19"/>
  <c r="E17" i="19"/>
  <c r="D17" i="19"/>
  <c r="H17" i="19"/>
  <c r="L17" i="19"/>
  <c r="E5" i="19"/>
  <c r="F17" i="19"/>
  <c r="J17" i="19"/>
  <c r="C18" i="19"/>
  <c r="D5" i="16"/>
  <c r="D10" i="16" s="1"/>
  <c r="F11" i="13"/>
  <c r="N10" i="13"/>
  <c r="J10" i="13"/>
  <c r="L10" i="13"/>
  <c r="H10" i="13"/>
  <c r="G10" i="13"/>
  <c r="I10" i="13"/>
  <c r="K10" i="13"/>
  <c r="M10" i="13"/>
  <c r="H11" i="13"/>
  <c r="J11" i="13"/>
  <c r="L11" i="13"/>
  <c r="N11" i="13"/>
  <c r="H4" i="17" l="1"/>
  <c r="H6" i="17" s="1"/>
  <c r="H8" i="17" s="1"/>
  <c r="D11" i="18"/>
  <c r="D9" i="18"/>
  <c r="H6" i="18" s="1"/>
  <c r="D8" i="16"/>
  <c r="H5" i="16" s="1"/>
  <c r="H4" i="16"/>
  <c r="H6" i="16" s="1"/>
  <c r="C19" i="19"/>
  <c r="L18" i="19"/>
  <c r="J18" i="19"/>
  <c r="H18" i="19"/>
  <c r="F18" i="19"/>
  <c r="D18" i="19"/>
  <c r="K18" i="19"/>
  <c r="G18" i="19"/>
  <c r="M18" i="19"/>
  <c r="I18" i="19"/>
  <c r="E18" i="19"/>
  <c r="H7" i="18"/>
  <c r="F12" i="13"/>
  <c r="M11" i="13"/>
  <c r="K11" i="13"/>
  <c r="I11" i="13"/>
  <c r="G11" i="13"/>
  <c r="H9" i="18" l="1"/>
  <c r="H8" i="16"/>
  <c r="M19" i="19"/>
  <c r="K19" i="19"/>
  <c r="I19" i="19"/>
  <c r="G19" i="19"/>
  <c r="E19" i="19"/>
  <c r="L19" i="19"/>
  <c r="H19" i="19"/>
  <c r="D19" i="19"/>
  <c r="C20" i="19"/>
  <c r="J19" i="19"/>
  <c r="F19" i="19"/>
  <c r="F13" i="13"/>
  <c r="N12" i="13"/>
  <c r="L12" i="13"/>
  <c r="J12" i="13"/>
  <c r="H12" i="13"/>
  <c r="G12" i="13"/>
  <c r="K12" i="13"/>
  <c r="I12" i="13"/>
  <c r="M12" i="13"/>
  <c r="C21" i="19" l="1"/>
  <c r="L20" i="19"/>
  <c r="J20" i="19"/>
  <c r="H20" i="19"/>
  <c r="F20" i="19"/>
  <c r="D20" i="19"/>
  <c r="M20" i="19"/>
  <c r="I20" i="19"/>
  <c r="E20" i="19"/>
  <c r="K20" i="19"/>
  <c r="G20" i="19"/>
  <c r="F14" i="13"/>
  <c r="M13" i="13"/>
  <c r="K13" i="13"/>
  <c r="I13" i="13"/>
  <c r="G13" i="13"/>
  <c r="H13" i="13"/>
  <c r="L13" i="13"/>
  <c r="J13" i="13"/>
  <c r="N13" i="13"/>
  <c r="M21" i="19" l="1"/>
  <c r="K21" i="19"/>
  <c r="I21" i="19"/>
  <c r="G21" i="19"/>
  <c r="E21" i="19"/>
  <c r="C22" i="19"/>
  <c r="J21" i="19"/>
  <c r="F21" i="19"/>
  <c r="L21" i="19"/>
  <c r="H21" i="19"/>
  <c r="D21" i="19"/>
  <c r="F15" i="13"/>
  <c r="N14" i="13"/>
  <c r="L14" i="13"/>
  <c r="J14" i="13"/>
  <c r="H14" i="13"/>
  <c r="G14" i="13"/>
  <c r="K14" i="13"/>
  <c r="I14" i="13"/>
  <c r="M14" i="13"/>
  <c r="C23" i="19" l="1"/>
  <c r="L22" i="19"/>
  <c r="J22" i="19"/>
  <c r="H22" i="19"/>
  <c r="F22" i="19"/>
  <c r="D22" i="19"/>
  <c r="K22" i="19"/>
  <c r="G22" i="19"/>
  <c r="M22" i="19"/>
  <c r="I22" i="19"/>
  <c r="E22" i="19"/>
  <c r="F16" i="13"/>
  <c r="M15" i="13"/>
  <c r="K15" i="13"/>
  <c r="I15" i="13"/>
  <c r="G15" i="13"/>
  <c r="H15" i="13"/>
  <c r="L15" i="13"/>
  <c r="J15" i="13"/>
  <c r="N15" i="13"/>
  <c r="M23" i="19" l="1"/>
  <c r="K23" i="19"/>
  <c r="I23" i="19"/>
  <c r="G23" i="19"/>
  <c r="E23" i="19"/>
  <c r="L23" i="19"/>
  <c r="H23" i="19"/>
  <c r="D23" i="19"/>
  <c r="C24" i="19"/>
  <c r="J23" i="19"/>
  <c r="F23" i="19"/>
  <c r="F17" i="13"/>
  <c r="N16" i="13"/>
  <c r="L16" i="13"/>
  <c r="J16" i="13"/>
  <c r="H16" i="13"/>
  <c r="G16" i="13"/>
  <c r="K16" i="13"/>
  <c r="I16" i="13"/>
  <c r="M16" i="13"/>
  <c r="C25" i="19" l="1"/>
  <c r="L24" i="19"/>
  <c r="J24" i="19"/>
  <c r="H24" i="19"/>
  <c r="F24" i="19"/>
  <c r="D24" i="19"/>
  <c r="M24" i="19"/>
  <c r="I24" i="19"/>
  <c r="E24" i="19"/>
  <c r="K24" i="19"/>
  <c r="G24" i="19"/>
  <c r="F18" i="13"/>
  <c r="M17" i="13"/>
  <c r="K17" i="13"/>
  <c r="I17" i="13"/>
  <c r="G17" i="13"/>
  <c r="H17" i="13"/>
  <c r="L17" i="13"/>
  <c r="J17" i="13"/>
  <c r="N17" i="13"/>
  <c r="M25" i="19" l="1"/>
  <c r="K25" i="19"/>
  <c r="I25" i="19"/>
  <c r="G25" i="19"/>
  <c r="E25" i="19"/>
  <c r="C26" i="19"/>
  <c r="J25" i="19"/>
  <c r="F25" i="19"/>
  <c r="L25" i="19"/>
  <c r="H25" i="19"/>
  <c r="D25" i="19"/>
  <c r="F19" i="13"/>
  <c r="N18" i="13"/>
  <c r="L18" i="13"/>
  <c r="J18" i="13"/>
  <c r="H18" i="13"/>
  <c r="G18" i="13"/>
  <c r="K18" i="13"/>
  <c r="I18" i="13"/>
  <c r="M18" i="13"/>
  <c r="C27" i="19" l="1"/>
  <c r="L26" i="19"/>
  <c r="J26" i="19"/>
  <c r="H26" i="19"/>
  <c r="F26" i="19"/>
  <c r="D26" i="19"/>
  <c r="K26" i="19"/>
  <c r="G26" i="19"/>
  <c r="M26" i="19"/>
  <c r="I26" i="19"/>
  <c r="E26" i="19"/>
  <c r="F20" i="13"/>
  <c r="M19" i="13"/>
  <c r="K19" i="13"/>
  <c r="I19" i="13"/>
  <c r="G19" i="13"/>
  <c r="H19" i="13"/>
  <c r="L19" i="13"/>
  <c r="J19" i="13"/>
  <c r="N19" i="13"/>
  <c r="M27" i="19" l="1"/>
  <c r="K27" i="19"/>
  <c r="I27" i="19"/>
  <c r="G27" i="19"/>
  <c r="E27" i="19"/>
  <c r="L27" i="19"/>
  <c r="H27" i="19"/>
  <c r="D27" i="19"/>
  <c r="C28" i="19"/>
  <c r="J27" i="19"/>
  <c r="F27" i="19"/>
  <c r="F21" i="13"/>
  <c r="N20" i="13"/>
  <c r="L20" i="13"/>
  <c r="J20" i="13"/>
  <c r="H20" i="13"/>
  <c r="G20" i="13"/>
  <c r="K20" i="13"/>
  <c r="I20" i="13"/>
  <c r="M20" i="13"/>
  <c r="C29" i="19" l="1"/>
  <c r="L28" i="19"/>
  <c r="J28" i="19"/>
  <c r="H28" i="19"/>
  <c r="F28" i="19"/>
  <c r="D28" i="19"/>
  <c r="M28" i="19"/>
  <c r="I28" i="19"/>
  <c r="E28" i="19"/>
  <c r="K28" i="19"/>
  <c r="G28" i="19"/>
  <c r="F22" i="13"/>
  <c r="M21" i="13"/>
  <c r="K21" i="13"/>
  <c r="I21" i="13"/>
  <c r="G21" i="13"/>
  <c r="H21" i="13"/>
  <c r="L21" i="13"/>
  <c r="J21" i="13"/>
  <c r="N21" i="13"/>
  <c r="M29" i="19" l="1"/>
  <c r="K29" i="19"/>
  <c r="I29" i="19"/>
  <c r="G29" i="19"/>
  <c r="E29" i="19"/>
  <c r="C30" i="19"/>
  <c r="J29" i="19"/>
  <c r="F29" i="19"/>
  <c r="L29" i="19"/>
  <c r="H29" i="19"/>
  <c r="D29" i="19"/>
  <c r="F23" i="13"/>
  <c r="N22" i="13"/>
  <c r="L22" i="13"/>
  <c r="J22" i="13"/>
  <c r="H22" i="13"/>
  <c r="G22" i="13"/>
  <c r="K22" i="13"/>
  <c r="I22" i="13"/>
  <c r="M22" i="13"/>
  <c r="C31" i="19" l="1"/>
  <c r="E13" i="19" s="1"/>
  <c r="L30" i="19"/>
  <c r="J30" i="19"/>
  <c r="H30" i="19"/>
  <c r="F30" i="19"/>
  <c r="D30" i="19"/>
  <c r="M30" i="19"/>
  <c r="K30" i="19"/>
  <c r="G30" i="19"/>
  <c r="I30" i="19"/>
  <c r="E30" i="19"/>
  <c r="F24" i="13"/>
  <c r="M23" i="13"/>
  <c r="K23" i="13"/>
  <c r="I23" i="13"/>
  <c r="G23" i="13"/>
  <c r="H23" i="13"/>
  <c r="L23" i="13"/>
  <c r="J23" i="13"/>
  <c r="N23" i="13"/>
  <c r="C32" i="19" l="1"/>
  <c r="L31" i="19"/>
  <c r="J31" i="19"/>
  <c r="M31" i="19"/>
  <c r="I31" i="19"/>
  <c r="G31" i="19"/>
  <c r="E31" i="19"/>
  <c r="K31" i="19"/>
  <c r="H31" i="19"/>
  <c r="F31" i="19"/>
  <c r="D31" i="19"/>
  <c r="F25" i="13"/>
  <c r="N24" i="13"/>
  <c r="L24" i="13"/>
  <c r="J24" i="13"/>
  <c r="H24" i="13"/>
  <c r="G24" i="13"/>
  <c r="K24" i="13"/>
  <c r="I24" i="13"/>
  <c r="M24" i="13"/>
  <c r="M32" i="19" l="1"/>
  <c r="K32" i="19"/>
  <c r="I32" i="19"/>
  <c r="G32" i="19"/>
  <c r="E32" i="19"/>
  <c r="C33" i="19"/>
  <c r="J32" i="19"/>
  <c r="F32" i="19"/>
  <c r="L32" i="19"/>
  <c r="H32" i="19"/>
  <c r="D32" i="19"/>
  <c r="F26" i="13"/>
  <c r="M25" i="13"/>
  <c r="K25" i="13"/>
  <c r="I25" i="13"/>
  <c r="G25" i="13"/>
  <c r="H25" i="13"/>
  <c r="L25" i="13"/>
  <c r="J25" i="13"/>
  <c r="N25" i="13"/>
  <c r="C34" i="19" l="1"/>
  <c r="L33" i="19"/>
  <c r="J33" i="19"/>
  <c r="H33" i="19"/>
  <c r="F33" i="19"/>
  <c r="D33" i="19"/>
  <c r="K33" i="19"/>
  <c r="G33" i="19"/>
  <c r="M33" i="19"/>
  <c r="I33" i="19"/>
  <c r="E33" i="19"/>
  <c r="F27" i="13"/>
  <c r="N26" i="13"/>
  <c r="L26" i="13"/>
  <c r="J26" i="13"/>
  <c r="H26" i="13"/>
  <c r="G26" i="13"/>
  <c r="K26" i="13"/>
  <c r="I26" i="13"/>
  <c r="M26" i="13"/>
  <c r="M34" i="19" l="1"/>
  <c r="K34" i="19"/>
  <c r="I34" i="19"/>
  <c r="G34" i="19"/>
  <c r="E34" i="19"/>
  <c r="L34" i="19"/>
  <c r="H34" i="19"/>
  <c r="D34" i="19"/>
  <c r="C35" i="19"/>
  <c r="J34" i="19"/>
  <c r="F34" i="19"/>
  <c r="F28" i="13"/>
  <c r="M27" i="13"/>
  <c r="K27" i="13"/>
  <c r="I27" i="13"/>
  <c r="G27" i="13"/>
  <c r="H27" i="13"/>
  <c r="L27" i="13"/>
  <c r="J27" i="13"/>
  <c r="N27" i="13"/>
  <c r="C36" i="19" l="1"/>
  <c r="L35" i="19"/>
  <c r="J35" i="19"/>
  <c r="H35" i="19"/>
  <c r="F35" i="19"/>
  <c r="D35" i="19"/>
  <c r="M35" i="19"/>
  <c r="I35" i="19"/>
  <c r="E35" i="19"/>
  <c r="K35" i="19"/>
  <c r="G35" i="19"/>
  <c r="F29" i="13"/>
  <c r="N28" i="13"/>
  <c r="L28" i="13"/>
  <c r="J28" i="13"/>
  <c r="H28" i="13"/>
  <c r="G28" i="13"/>
  <c r="K28" i="13"/>
  <c r="I28" i="13"/>
  <c r="M28" i="13"/>
  <c r="M36" i="19" l="1"/>
  <c r="K36" i="19"/>
  <c r="I36" i="19"/>
  <c r="G36" i="19"/>
  <c r="E36" i="19"/>
  <c r="C37" i="19"/>
  <c r="J36" i="19"/>
  <c r="F36" i="19"/>
  <c r="L36" i="19"/>
  <c r="H36" i="19"/>
  <c r="D36" i="19"/>
  <c r="K29" i="13"/>
  <c r="I29" i="13"/>
  <c r="G29" i="13"/>
  <c r="N29" i="13"/>
  <c r="H29" i="13"/>
  <c r="M29" i="13"/>
  <c r="L29" i="13"/>
  <c r="J29" i="13"/>
  <c r="C38" i="19" l="1"/>
  <c r="L37" i="19"/>
  <c r="J37" i="19"/>
  <c r="H37" i="19"/>
  <c r="F37" i="19"/>
  <c r="D37" i="19"/>
  <c r="K37" i="19"/>
  <c r="G37" i="19"/>
  <c r="M37" i="19"/>
  <c r="I37" i="19"/>
  <c r="E37" i="19"/>
  <c r="M38" i="19" l="1"/>
  <c r="K38" i="19"/>
  <c r="I38" i="19"/>
  <c r="G38" i="19"/>
  <c r="E38" i="19"/>
  <c r="L38" i="19"/>
  <c r="H38" i="19"/>
  <c r="D38" i="19"/>
  <c r="C39" i="19"/>
  <c r="J38" i="19"/>
  <c r="F38" i="19"/>
  <c r="C40" i="19" l="1"/>
  <c r="L39" i="19"/>
  <c r="J39" i="19"/>
  <c r="H39" i="19"/>
  <c r="F39" i="19"/>
  <c r="D39" i="19"/>
  <c r="M39" i="19"/>
  <c r="I39" i="19"/>
  <c r="E39" i="19"/>
  <c r="K39" i="19"/>
  <c r="G39" i="19"/>
  <c r="M40" i="19" l="1"/>
  <c r="K40" i="19"/>
  <c r="I40" i="19"/>
  <c r="G40" i="19"/>
  <c r="E40" i="19"/>
  <c r="C41" i="19"/>
  <c r="J40" i="19"/>
  <c r="F40" i="19"/>
  <c r="L40" i="19"/>
  <c r="H40" i="19"/>
  <c r="D40" i="19"/>
  <c r="C42" i="19" l="1"/>
  <c r="L41" i="19"/>
  <c r="J41" i="19"/>
  <c r="H41" i="19"/>
  <c r="F41" i="19"/>
  <c r="D41" i="19"/>
  <c r="K41" i="19"/>
  <c r="G41" i="19"/>
  <c r="M41" i="19"/>
  <c r="I41" i="19"/>
  <c r="E41" i="19"/>
  <c r="M42" i="19" l="1"/>
  <c r="K42" i="19"/>
  <c r="I42" i="19"/>
  <c r="G42" i="19"/>
  <c r="E42" i="19"/>
  <c r="L42" i="19"/>
  <c r="H42" i="19"/>
  <c r="D42" i="19"/>
  <c r="C43" i="19"/>
  <c r="J42" i="19"/>
  <c r="F42" i="19"/>
  <c r="C44" i="19" l="1"/>
  <c r="L43" i="19"/>
  <c r="J43" i="19"/>
  <c r="H43" i="19"/>
  <c r="F43" i="19"/>
  <c r="D43" i="19"/>
  <c r="M43" i="19"/>
  <c r="I43" i="19"/>
  <c r="E43" i="19"/>
  <c r="K43" i="19"/>
  <c r="G43" i="19"/>
  <c r="M44" i="19" l="1"/>
  <c r="K44" i="19"/>
  <c r="I44" i="19"/>
  <c r="G44" i="19"/>
  <c r="E44" i="19"/>
  <c r="C45" i="19"/>
  <c r="J44" i="19"/>
  <c r="F44" i="19"/>
  <c r="L44" i="19"/>
  <c r="H44" i="19"/>
  <c r="D44" i="19"/>
  <c r="C46" i="19" l="1"/>
  <c r="L45" i="19"/>
  <c r="J45" i="19"/>
  <c r="H45" i="19"/>
  <c r="F45" i="19"/>
  <c r="D45" i="19"/>
  <c r="K45" i="19"/>
  <c r="G45" i="19"/>
  <c r="M45" i="19"/>
  <c r="I45" i="19"/>
  <c r="E45" i="19"/>
  <c r="M46" i="19" l="1"/>
  <c r="K46" i="19"/>
  <c r="I46" i="19"/>
  <c r="G46" i="19"/>
  <c r="E46" i="19"/>
  <c r="L46" i="19"/>
  <c r="H46" i="19"/>
  <c r="D46" i="19"/>
  <c r="J46" i="19"/>
  <c r="F46" i="19"/>
  <c r="M7" i="8" l="1"/>
  <c r="M6" i="8"/>
  <c r="M5" i="8"/>
  <c r="L6" i="8"/>
  <c r="N6" i="8" s="1"/>
  <c r="L5" i="8"/>
  <c r="H55" i="8"/>
  <c r="B55" i="8"/>
  <c r="H54" i="8"/>
  <c r="B54" i="8"/>
  <c r="H53" i="8"/>
  <c r="B53" i="8"/>
  <c r="H52" i="8"/>
  <c r="B52" i="8"/>
  <c r="H51" i="8"/>
  <c r="B51" i="8"/>
  <c r="H50" i="8"/>
  <c r="B50" i="8"/>
  <c r="H49" i="8"/>
  <c r="B49" i="8"/>
  <c r="H48" i="8"/>
  <c r="B48" i="8"/>
  <c r="H47" i="8"/>
  <c r="B47" i="8"/>
  <c r="H46" i="8"/>
  <c r="B46" i="8"/>
  <c r="H45" i="8"/>
  <c r="B45" i="8"/>
  <c r="H44" i="8"/>
  <c r="B44" i="8"/>
  <c r="H43" i="8"/>
  <c r="B43" i="8"/>
  <c r="H42" i="8"/>
  <c r="B42" i="8"/>
  <c r="H41" i="8"/>
  <c r="B41" i="8"/>
  <c r="H40" i="8"/>
  <c r="B40" i="8"/>
  <c r="H39" i="8"/>
  <c r="B39" i="8"/>
  <c r="H38" i="8"/>
  <c r="B38" i="8"/>
  <c r="H37" i="8"/>
  <c r="B37" i="8"/>
  <c r="H36" i="8"/>
  <c r="B36" i="8"/>
  <c r="H35" i="8"/>
  <c r="B35" i="8"/>
  <c r="H34" i="8"/>
  <c r="B34" i="8"/>
  <c r="H33" i="8"/>
  <c r="B33" i="8"/>
  <c r="H32" i="8"/>
  <c r="B32" i="8"/>
  <c r="H31" i="8"/>
  <c r="B31" i="8"/>
  <c r="H30" i="8"/>
  <c r="B30" i="8"/>
  <c r="H29" i="8"/>
  <c r="B29" i="8"/>
  <c r="H28" i="8"/>
  <c r="B28" i="8"/>
  <c r="H27" i="8"/>
  <c r="B27" i="8"/>
  <c r="H26" i="8"/>
  <c r="B26" i="8"/>
  <c r="H25" i="8"/>
  <c r="B25" i="8"/>
  <c r="H24" i="8"/>
  <c r="B24" i="8"/>
  <c r="H23" i="8"/>
  <c r="B23" i="8"/>
  <c r="C18" i="8"/>
  <c r="G14" i="8"/>
  <c r="L7" i="8" s="1"/>
  <c r="C13" i="8"/>
  <c r="C14" i="8" s="1"/>
  <c r="B3" i="8" s="1"/>
  <c r="K8" i="8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6" i="8"/>
  <c r="H5" i="8"/>
  <c r="H6" i="8" s="1"/>
  <c r="H7" i="8" s="1"/>
  <c r="H8" i="8" s="1"/>
  <c r="H9" i="8" s="1"/>
  <c r="H10" i="8" s="1"/>
  <c r="H11" i="8" s="1"/>
  <c r="H12" i="8" s="1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N5" i="8" l="1"/>
  <c r="N7" i="8"/>
  <c r="N8" i="8" s="1"/>
  <c r="J7" i="7" l="1"/>
  <c r="J6" i="7"/>
  <c r="B55" i="7"/>
  <c r="G55" i="7" s="1"/>
  <c r="B54" i="7"/>
  <c r="G54" i="7" s="1"/>
  <c r="B53" i="7"/>
  <c r="G53" i="7" s="1"/>
  <c r="B52" i="7"/>
  <c r="G52" i="7" s="1"/>
  <c r="B51" i="7"/>
  <c r="G51" i="7" s="1"/>
  <c r="B50" i="7"/>
  <c r="G50" i="7" s="1"/>
  <c r="B49" i="7"/>
  <c r="G49" i="7" s="1"/>
  <c r="B48" i="7"/>
  <c r="G48" i="7" s="1"/>
  <c r="B47" i="7"/>
  <c r="G47" i="7" s="1"/>
  <c r="B46" i="7"/>
  <c r="G46" i="7" s="1"/>
  <c r="B45" i="7"/>
  <c r="G45" i="7" s="1"/>
  <c r="B44" i="7"/>
  <c r="G44" i="7" s="1"/>
  <c r="B43" i="7"/>
  <c r="G43" i="7" s="1"/>
  <c r="B42" i="7"/>
  <c r="G42" i="7" s="1"/>
  <c r="B41" i="7"/>
  <c r="G41" i="7" s="1"/>
  <c r="B40" i="7"/>
  <c r="G40" i="7" s="1"/>
  <c r="B39" i="7"/>
  <c r="G39" i="7" s="1"/>
  <c r="B38" i="7"/>
  <c r="G38" i="7" s="1"/>
  <c r="B37" i="7"/>
  <c r="G37" i="7" s="1"/>
  <c r="B36" i="7"/>
  <c r="G36" i="7" s="1"/>
  <c r="B35" i="7"/>
  <c r="G35" i="7" s="1"/>
  <c r="B34" i="7"/>
  <c r="G34" i="7" s="1"/>
  <c r="B33" i="7"/>
  <c r="G33" i="7" s="1"/>
  <c r="B32" i="7"/>
  <c r="G32" i="7" s="1"/>
  <c r="B31" i="7"/>
  <c r="G31" i="7" s="1"/>
  <c r="B30" i="7"/>
  <c r="G30" i="7" s="1"/>
  <c r="B29" i="7"/>
  <c r="G29" i="7" s="1"/>
  <c r="B28" i="7"/>
  <c r="G28" i="7" s="1"/>
  <c r="B27" i="7"/>
  <c r="G27" i="7" s="1"/>
  <c r="B26" i="7"/>
  <c r="G26" i="7" s="1"/>
  <c r="B25" i="7"/>
  <c r="G25" i="7" s="1"/>
  <c r="B24" i="7"/>
  <c r="G24" i="7" s="1"/>
  <c r="B23" i="7"/>
  <c r="G23" i="7" s="1"/>
  <c r="B22" i="7"/>
  <c r="G22" i="7" s="1"/>
  <c r="B21" i="7"/>
  <c r="G21" i="7" s="1"/>
  <c r="B20" i="7"/>
  <c r="G20" i="7" s="1"/>
  <c r="B19" i="7"/>
  <c r="G19" i="7" s="1"/>
  <c r="B18" i="7"/>
  <c r="G18" i="7" s="1"/>
  <c r="B17" i="7"/>
  <c r="P17" i="7" s="1"/>
  <c r="B6" i="7"/>
  <c r="B7" i="7" s="1"/>
  <c r="J5" i="7"/>
  <c r="B3" i="7"/>
  <c r="B3" i="1"/>
  <c r="K9" i="2"/>
  <c r="K8" i="2"/>
  <c r="J10" i="2"/>
  <c r="K10" i="2" s="1"/>
  <c r="J9" i="2"/>
  <c r="G17" i="7" l="1"/>
  <c r="J8" i="7"/>
  <c r="B8" i="7"/>
  <c r="G6" i="7"/>
  <c r="G7" i="7" s="1"/>
  <c r="K11" i="2"/>
  <c r="J7" i="1"/>
  <c r="J6" i="1"/>
  <c r="J5" i="1"/>
  <c r="B17" i="1"/>
  <c r="B18" i="1"/>
  <c r="G18" i="1" s="1"/>
  <c r="B19" i="1"/>
  <c r="G19" i="1" s="1"/>
  <c r="B20" i="1"/>
  <c r="G20" i="1" s="1"/>
  <c r="B21" i="1"/>
  <c r="G21" i="1" s="1"/>
  <c r="B22" i="1"/>
  <c r="G22" i="1" s="1"/>
  <c r="B23" i="1"/>
  <c r="G23" i="1" s="1"/>
  <c r="B24" i="1"/>
  <c r="G24" i="1" s="1"/>
  <c r="B25" i="1"/>
  <c r="G25" i="1" s="1"/>
  <c r="B26" i="1"/>
  <c r="G26" i="1" s="1"/>
  <c r="B27" i="1"/>
  <c r="G27" i="1" s="1"/>
  <c r="B28" i="1"/>
  <c r="G28" i="1" s="1"/>
  <c r="B29" i="1"/>
  <c r="G29" i="1" s="1"/>
  <c r="B30" i="1"/>
  <c r="G30" i="1" s="1"/>
  <c r="B31" i="1"/>
  <c r="G31" i="1" s="1"/>
  <c r="B32" i="1"/>
  <c r="G32" i="1" s="1"/>
  <c r="B33" i="1"/>
  <c r="G33" i="1" s="1"/>
  <c r="B34" i="1"/>
  <c r="G34" i="1" s="1"/>
  <c r="B35" i="1"/>
  <c r="G35" i="1" s="1"/>
  <c r="B36" i="1"/>
  <c r="G36" i="1" s="1"/>
  <c r="B37" i="1"/>
  <c r="G37" i="1" s="1"/>
  <c r="B38" i="1"/>
  <c r="G38" i="1" s="1"/>
  <c r="B39" i="1"/>
  <c r="G39" i="1" s="1"/>
  <c r="B40" i="1"/>
  <c r="G40" i="1" s="1"/>
  <c r="B41" i="1"/>
  <c r="G41" i="1" s="1"/>
  <c r="B42" i="1"/>
  <c r="G42" i="1" s="1"/>
  <c r="B43" i="1"/>
  <c r="G43" i="1" s="1"/>
  <c r="B44" i="1"/>
  <c r="G44" i="1" s="1"/>
  <c r="B45" i="1"/>
  <c r="G45" i="1" s="1"/>
  <c r="B46" i="1"/>
  <c r="G46" i="1" s="1"/>
  <c r="B47" i="1"/>
  <c r="G47" i="1" s="1"/>
  <c r="B48" i="1"/>
  <c r="G48" i="1" s="1"/>
  <c r="B49" i="1"/>
  <c r="G49" i="1" s="1"/>
  <c r="B50" i="1"/>
  <c r="G50" i="1" s="1"/>
  <c r="B51" i="1"/>
  <c r="G51" i="1" s="1"/>
  <c r="B52" i="1"/>
  <c r="G52" i="1" s="1"/>
  <c r="B53" i="1"/>
  <c r="G53" i="1" s="1"/>
  <c r="B54" i="1"/>
  <c r="G54" i="1" s="1"/>
  <c r="B55" i="1"/>
  <c r="G55" i="1" s="1"/>
  <c r="B6" i="1"/>
  <c r="G6" i="1" s="1"/>
  <c r="B3" i="6"/>
  <c r="E6" i="6"/>
  <c r="B7" i="6"/>
  <c r="E7" i="6" s="1"/>
  <c r="K8" i="6"/>
  <c r="H5" i="6" s="1"/>
  <c r="H6" i="6" s="1"/>
  <c r="B15" i="6"/>
  <c r="E15" i="6"/>
  <c r="H15" i="6" s="1"/>
  <c r="B16" i="6"/>
  <c r="E16" i="6" s="1"/>
  <c r="H16" i="6" s="1"/>
  <c r="B17" i="6"/>
  <c r="E17" i="6" s="1"/>
  <c r="H17" i="6" s="1"/>
  <c r="B18" i="6"/>
  <c r="E18" i="6" s="1"/>
  <c r="H18" i="6" s="1"/>
  <c r="B19" i="6"/>
  <c r="E19" i="6" s="1"/>
  <c r="H19" i="6" s="1"/>
  <c r="B20" i="6"/>
  <c r="E20" i="6" s="1"/>
  <c r="H20" i="6" s="1"/>
  <c r="B21" i="6"/>
  <c r="E21" i="6" s="1"/>
  <c r="H21" i="6" s="1"/>
  <c r="B22" i="6"/>
  <c r="E22" i="6" s="1"/>
  <c r="H22" i="6" s="1"/>
  <c r="B23" i="6"/>
  <c r="E23" i="6"/>
  <c r="H23" i="6" s="1"/>
  <c r="B24" i="6"/>
  <c r="E24" i="6" s="1"/>
  <c r="H24" i="6" s="1"/>
  <c r="B25" i="6"/>
  <c r="E25" i="6" s="1"/>
  <c r="H25" i="6" s="1"/>
  <c r="B26" i="6"/>
  <c r="E26" i="6" s="1"/>
  <c r="H26" i="6" s="1"/>
  <c r="B27" i="6"/>
  <c r="E27" i="6" s="1"/>
  <c r="H27" i="6" s="1"/>
  <c r="B28" i="6"/>
  <c r="E28" i="6" s="1"/>
  <c r="H28" i="6" s="1"/>
  <c r="M27" i="6"/>
  <c r="B29" i="6"/>
  <c r="E29" i="6" s="1"/>
  <c r="H29" i="6" s="1"/>
  <c r="M28" i="6"/>
  <c r="B30" i="6"/>
  <c r="E30" i="6" s="1"/>
  <c r="H30" i="6" s="1"/>
  <c r="M29" i="6"/>
  <c r="B31" i="6"/>
  <c r="E31" i="6" s="1"/>
  <c r="H31" i="6" s="1"/>
  <c r="M30" i="6"/>
  <c r="B32" i="6"/>
  <c r="E32" i="6" s="1"/>
  <c r="H32" i="6" s="1"/>
  <c r="M31" i="6"/>
  <c r="B33" i="6"/>
  <c r="E33" i="6" s="1"/>
  <c r="H33" i="6" s="1"/>
  <c r="M32" i="6"/>
  <c r="B34" i="6"/>
  <c r="E34" i="6" s="1"/>
  <c r="H34" i="6" s="1"/>
  <c r="B35" i="6"/>
  <c r="E35" i="6" s="1"/>
  <c r="H35" i="6" s="1"/>
  <c r="B36" i="6"/>
  <c r="E36" i="6" s="1"/>
  <c r="H36" i="6" s="1"/>
  <c r="B37" i="6"/>
  <c r="E37" i="6" s="1"/>
  <c r="H37" i="6" s="1"/>
  <c r="M36" i="6"/>
  <c r="B38" i="6"/>
  <c r="E38" i="6"/>
  <c r="H38" i="6" s="1"/>
  <c r="M37" i="6"/>
  <c r="B39" i="6"/>
  <c r="E39" i="6" s="1"/>
  <c r="H39" i="6" s="1"/>
  <c r="M38" i="6"/>
  <c r="B40" i="6"/>
  <c r="E40" i="6" s="1"/>
  <c r="H40" i="6" s="1"/>
  <c r="M39" i="6"/>
  <c r="B41" i="6"/>
  <c r="E41" i="6" s="1"/>
  <c r="H41" i="6" s="1"/>
  <c r="M40" i="6"/>
  <c r="B42" i="6"/>
  <c r="E42" i="6"/>
  <c r="H42" i="6" s="1"/>
  <c r="M41" i="6"/>
  <c r="B43" i="6"/>
  <c r="E43" i="6" s="1"/>
  <c r="H43" i="6" s="1"/>
  <c r="M42" i="6"/>
  <c r="B44" i="6"/>
  <c r="E44" i="6" s="1"/>
  <c r="H44" i="6" s="1"/>
  <c r="M43" i="6"/>
  <c r="B45" i="6"/>
  <c r="E45" i="6" s="1"/>
  <c r="H45" i="6" s="1"/>
  <c r="M44" i="6"/>
  <c r="B46" i="6"/>
  <c r="E46" i="6"/>
  <c r="H46" i="6" s="1"/>
  <c r="M45" i="6"/>
  <c r="B47" i="6"/>
  <c r="E47" i="6" s="1"/>
  <c r="H47" i="6" s="1"/>
  <c r="M46" i="6"/>
  <c r="B48" i="6"/>
  <c r="E48" i="6" s="1"/>
  <c r="H48" i="6" s="1"/>
  <c r="M47" i="6"/>
  <c r="B49" i="6"/>
  <c r="E49" i="6" s="1"/>
  <c r="H49" i="6" s="1"/>
  <c r="M48" i="6"/>
  <c r="B50" i="6"/>
  <c r="E50" i="6"/>
  <c r="H50" i="6" s="1"/>
  <c r="B51" i="6"/>
  <c r="E51" i="6" s="1"/>
  <c r="H51" i="6" s="1"/>
  <c r="B52" i="6"/>
  <c r="E52" i="6" s="1"/>
  <c r="H52" i="6" s="1"/>
  <c r="B53" i="6"/>
  <c r="E53" i="6"/>
  <c r="H53" i="6" s="1"/>
  <c r="B54" i="6"/>
  <c r="E54" i="6" s="1"/>
  <c r="H54" i="6" s="1"/>
  <c r="B55" i="6"/>
  <c r="E55" i="6" s="1"/>
  <c r="H55" i="6" s="1"/>
  <c r="H5" i="2"/>
  <c r="H6" i="2" s="1"/>
  <c r="H7" i="2" s="1"/>
  <c r="H8" i="2"/>
  <c r="H9" i="2"/>
  <c r="H10" i="2"/>
  <c r="M49" i="6" l="1"/>
  <c r="P17" i="1"/>
  <c r="G17" i="1"/>
  <c r="B7" i="1"/>
  <c r="M33" i="6"/>
  <c r="B8" i="6"/>
  <c r="E8" i="6" s="1"/>
  <c r="B9" i="7"/>
  <c r="G8" i="7"/>
  <c r="J8" i="1"/>
  <c r="H7" i="6"/>
  <c r="B9" i="6"/>
  <c r="B8" i="1" l="1"/>
  <c r="B9" i="1" s="1"/>
  <c r="B10" i="1" s="1"/>
  <c r="B11" i="1" s="1"/>
  <c r="B12" i="1" s="1"/>
  <c r="B13" i="1" s="1"/>
  <c r="B14" i="1" s="1"/>
  <c r="B15" i="1" s="1"/>
  <c r="B16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H8" i="6"/>
  <c r="B10" i="7"/>
  <c r="G9" i="7"/>
  <c r="E9" i="6"/>
  <c r="B10" i="6"/>
  <c r="B11" i="7" l="1"/>
  <c r="G10" i="7"/>
  <c r="E10" i="6"/>
  <c r="B11" i="6"/>
  <c r="H9" i="6"/>
  <c r="B12" i="7" l="1"/>
  <c r="G11" i="7"/>
  <c r="H10" i="6"/>
  <c r="E11" i="6"/>
  <c r="B12" i="6"/>
  <c r="B13" i="7" l="1"/>
  <c r="G12" i="7"/>
  <c r="H11" i="6"/>
  <c r="L7" i="6"/>
  <c r="E12" i="6"/>
  <c r="B13" i="6"/>
  <c r="B14" i="7" l="1"/>
  <c r="G13" i="7"/>
  <c r="H12" i="6"/>
  <c r="L6" i="6"/>
  <c r="E13" i="6"/>
  <c r="B14" i="6"/>
  <c r="E14" i="6" s="1"/>
  <c r="B15" i="7" l="1"/>
  <c r="G14" i="7"/>
  <c r="M6" i="6"/>
  <c r="N6" i="6" s="1"/>
  <c r="M7" i="6"/>
  <c r="N7" i="6" s="1"/>
  <c r="H13" i="6"/>
  <c r="H14" i="6" s="1"/>
  <c r="L5" i="6"/>
  <c r="M5" i="6"/>
  <c r="M8" i="6" l="1"/>
  <c r="B16" i="7"/>
  <c r="G16" i="7" s="1"/>
  <c r="G15" i="7"/>
  <c r="N5" i="6"/>
  <c r="N8" i="6" s="1"/>
  <c r="L8" i="6"/>
</calcChain>
</file>

<file path=xl/comments1.xml><?xml version="1.0" encoding="utf-8"?>
<comments xmlns="http://schemas.openxmlformats.org/spreadsheetml/2006/main">
  <authors>
    <author>Windows 10 Pro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Windows 10 Pro:</t>
        </r>
        <r>
          <rPr>
            <sz val="9"/>
            <color indexed="81"/>
            <rFont val="Tahoma"/>
            <family val="2"/>
          </rPr>
          <t xml:space="preserve">
Diisi bunga yang ditawarkan.</t>
        </r>
      </text>
    </comment>
  </commentList>
</comments>
</file>

<file path=xl/sharedStrings.xml><?xml version="1.0" encoding="utf-8"?>
<sst xmlns="http://schemas.openxmlformats.org/spreadsheetml/2006/main" count="402" uniqueCount="156">
  <si>
    <t>Pengeluaran</t>
  </si>
  <si>
    <t>biaya sekolah anak</t>
  </si>
  <si>
    <t>beli BBM</t>
  </si>
  <si>
    <t>bayar arisan</t>
  </si>
  <si>
    <t>setor ke bank</t>
  </si>
  <si>
    <t>bayar iuran lingkungan</t>
  </si>
  <si>
    <t>kondangan</t>
  </si>
  <si>
    <t>beli pulsa listrik</t>
  </si>
  <si>
    <t>beli pulsa telepon</t>
  </si>
  <si>
    <t>perbaikan kendaraan</t>
  </si>
  <si>
    <t>belanja bulanan</t>
  </si>
  <si>
    <t>Penerimaan</t>
  </si>
  <si>
    <t>gaji</t>
  </si>
  <si>
    <t>Saldo awal</t>
  </si>
  <si>
    <t>Saldo</t>
  </si>
  <si>
    <t>Jumlah</t>
  </si>
  <si>
    <t>Jenis</t>
  </si>
  <si>
    <t>Keterangan</t>
  </si>
  <si>
    <t>Tanggal</t>
  </si>
  <si>
    <t>No</t>
  </si>
  <si>
    <t>Penambahan dana</t>
  </si>
  <si>
    <t>No Bukti</t>
  </si>
  <si>
    <t xml:space="preserve">No. </t>
  </si>
  <si>
    <t>Keluar</t>
  </si>
  <si>
    <t>lain-lain</t>
  </si>
  <si>
    <t>membeli setrika</t>
  </si>
  <si>
    <t>kondangan + transportasi</t>
  </si>
  <si>
    <t>BNI</t>
  </si>
  <si>
    <t>Masuk</t>
  </si>
  <si>
    <t>tarik tunai dari BNI</t>
  </si>
  <si>
    <t>ongkos tukang</t>
  </si>
  <si>
    <t>membeli BBM dan transportasi</t>
  </si>
  <si>
    <t>setoran tunai ke BNI</t>
  </si>
  <si>
    <t>penjualan motor lama</t>
  </si>
  <si>
    <t>tarik tunai dari BCA</t>
  </si>
  <si>
    <t>BCA</t>
  </si>
  <si>
    <t>uang muka pembelian motor</t>
  </si>
  <si>
    <t>Saldo Awal</t>
  </si>
  <si>
    <t>Saldo akhir</t>
  </si>
  <si>
    <t>Kas/Bank</t>
  </si>
  <si>
    <t>KAS dan BANK</t>
  </si>
  <si>
    <t>keluar</t>
  </si>
  <si>
    <t>top up kartu (tol, krl dsb)</t>
  </si>
  <si>
    <t>perbaikan aset</t>
  </si>
  <si>
    <t>sumbangan</t>
  </si>
  <si>
    <t>membayar iuran bulanan</t>
  </si>
  <si>
    <t>membayar arisan</t>
  </si>
  <si>
    <t>biaya/pulsa listrik</t>
  </si>
  <si>
    <t>pulsa telepon/internet</t>
  </si>
  <si>
    <t>biaya sekolah/kuliah</t>
  </si>
  <si>
    <t>masuk</t>
  </si>
  <si>
    <t>menerima transfer</t>
  </si>
  <si>
    <t>transfer uang</t>
  </si>
  <si>
    <t>menerima gaji</t>
  </si>
  <si>
    <t>menerima uang dari tarik ATM</t>
  </si>
  <si>
    <t>menarik uang melalui ATM</t>
  </si>
  <si>
    <t>pendapatan lain</t>
  </si>
  <si>
    <t>mendapat arisan</t>
  </si>
  <si>
    <t>menerima honor</t>
  </si>
  <si>
    <t>UANG KELUAR</t>
  </si>
  <si>
    <t>UANG MASUK</t>
  </si>
  <si>
    <t>Saldo Akhir</t>
  </si>
  <si>
    <t>PENCATATAN KAS SEDERHANA</t>
  </si>
  <si>
    <t>Kas</t>
  </si>
  <si>
    <t>CATATAN KAS dan BANK</t>
  </si>
  <si>
    <t>PENCATATAN UANG</t>
  </si>
  <si>
    <t>Ringkasan</t>
  </si>
  <si>
    <t>Informasi keuangan</t>
  </si>
  <si>
    <t>menerima transfer gaji</t>
  </si>
  <si>
    <t>menerima setoran tunai</t>
  </si>
  <si>
    <t>pengambilan untuk kas</t>
  </si>
  <si>
    <t>tarik tunai melalui ATM</t>
  </si>
  <si>
    <t>Keterangan Transaksi</t>
  </si>
  <si>
    <t>Jangka Waktu Pinjam</t>
  </si>
  <si>
    <t>Pokok Pinjaman</t>
  </si>
  <si>
    <t>Bulan Angsuran Pertama</t>
  </si>
  <si>
    <t>Tabel Angsuran Pinjaman</t>
  </si>
  <si>
    <t>Bulan</t>
  </si>
  <si>
    <t xml:space="preserve">Pokok </t>
  </si>
  <si>
    <t>Cicilan Pokok</t>
  </si>
  <si>
    <t>Bunga</t>
  </si>
  <si>
    <t>Angsuran</t>
  </si>
  <si>
    <t>Pinjaman</t>
  </si>
  <si>
    <t>Angsuran per Bulan</t>
  </si>
  <si>
    <t>Gaji Tetap</t>
  </si>
  <si>
    <t>Potongan Rutin per Bulan</t>
  </si>
  <si>
    <t>Angsuran Utang Lainnya</t>
  </si>
  <si>
    <t>Sisa</t>
  </si>
  <si>
    <t>Perkiraan Persyaratan Bank</t>
  </si>
  <si>
    <t>Prediksi Kemampuan Bayar Angsuran</t>
  </si>
  <si>
    <t>PREDIKSI KEMAMPUAN BAYAR</t>
  </si>
  <si>
    <t>Data Awal untuk Tabel Angsuran</t>
  </si>
  <si>
    <t>Kenaikan Dana Tabel Angsuran</t>
  </si>
  <si>
    <t>Suku Bunga Pinjaman</t>
  </si>
  <si>
    <t>Jangka waktu kredit</t>
  </si>
  <si>
    <t>Alternatif pilihan jumlah pinjaman dan jangka waktu kredit yang dapat dipilih</t>
  </si>
  <si>
    <t>MEMILIH JANGKA WAKTU KREDIT</t>
  </si>
  <si>
    <t>Perkiraan Kebutuhan Dana</t>
  </si>
  <si>
    <t>Dana Sendiri</t>
  </si>
  <si>
    <t>Pendanaan Pihak Lain</t>
  </si>
  <si>
    <t>Kemampuan Angsuran Bulanan</t>
  </si>
  <si>
    <t>Perhitungan sistem bunga</t>
  </si>
  <si>
    <t>Flat</t>
  </si>
  <si>
    <t>Efektif</t>
  </si>
  <si>
    <t>Bunga Pinjaman / Tahun</t>
  </si>
  <si>
    <t>Rencana Pinjaman (lihat tabel)</t>
  </si>
  <si>
    <t>&gt;&gt;&gt; lihat pilihan jangka waktu kredit yang sejajar dengan &gt;&gt;&gt;</t>
  </si>
  <si>
    <t>TABEL ANGSURAN PER BULAN</t>
  </si>
  <si>
    <t>PERHITUNGAN ANGSURAN BUNGA TETAP</t>
  </si>
  <si>
    <t>Bunga Pinjaman (per tahun)</t>
  </si>
  <si>
    <t>Isi Tanggal Angsuran Pertama</t>
  </si>
  <si>
    <t>Jadwal Tanggal Angsuran Terakhir</t>
  </si>
  <si>
    <t>Rincian Pembayaran</t>
  </si>
  <si>
    <t>Uang Muka</t>
  </si>
  <si>
    <t>Angsuran Pertama</t>
  </si>
  <si>
    <t>Provisi</t>
  </si>
  <si>
    <t>Administrasi</t>
  </si>
  <si>
    <t xml:space="preserve">Harga Aset </t>
  </si>
  <si>
    <t>PERHITUNGAN ANGSURAN BUNGA EFEKTIF</t>
  </si>
  <si>
    <t>Pilihan sistem bunga:       Tetap/Flat       Efektif</t>
  </si>
  <si>
    <t>PENYETARAAN BUNGA FLAT dengan EFEKTIF</t>
  </si>
  <si>
    <t>Jumlah Pinjaman/Kredit</t>
  </si>
  <si>
    <t>Jangka Waktu</t>
  </si>
  <si>
    <t>Bunga per Tahun</t>
  </si>
  <si>
    <t>Konversi Sistem Bunga Tetap ke Efektif</t>
  </si>
  <si>
    <t>Waktu Pinjam</t>
  </si>
  <si>
    <t>Angsuran Bulanan</t>
  </si>
  <si>
    <t>Nilai YAD</t>
  </si>
  <si>
    <t>Tipe Pembayaran</t>
  </si>
  <si>
    <t>Perkiraan Bunga</t>
  </si>
  <si>
    <t>Bunga per Bulan</t>
  </si>
  <si>
    <t>=RATE(waku;angsuran;pinjaman;nilai_yad;tipe;perkiraan_bunga)</t>
  </si>
  <si>
    <t>Pembuktian</t>
  </si>
  <si>
    <t>Perhitungan Bunga Efektif</t>
  </si>
  <si>
    <t>Tawaran Bank</t>
  </si>
  <si>
    <t>Pilihan Kredit</t>
  </si>
  <si>
    <t>yang sebaiknya dipilih</t>
  </si>
  <si>
    <t>Bank X - Bunga Tetap</t>
  </si>
  <si>
    <t>Bank Y - Bunga Efektif</t>
  </si>
  <si>
    <t>MENGENAL BANK NON SYARIAH dan BANK SYARIAH</t>
  </si>
  <si>
    <t>Pilihan         Bank Non Syariah            Bank Syariah</t>
  </si>
  <si>
    <t>Total Pembayaran</t>
  </si>
  <si>
    <t>Tanggal Jatuh Tempo</t>
  </si>
  <si>
    <t>Angsuran Per Bulan</t>
  </si>
  <si>
    <t>Tanggal Terakhir (Pelunasan)</t>
  </si>
  <si>
    <t>Rincian Pembayaran Tahunan</t>
  </si>
  <si>
    <t>Tahun</t>
  </si>
  <si>
    <t>Waktu</t>
  </si>
  <si>
    <t>Pengurang</t>
  </si>
  <si>
    <t>digunakan untuk perhitungan awal dengan perubahan bunga</t>
  </si>
  <si>
    <t>- Bulan, berisi urutan mulai bulan ke-n sesuai dengan bunga yang berlaku</t>
  </si>
  <si>
    <t>- Waktu, menunjukkan waktu pinjam sesuai dengan bunga yang berlaku</t>
  </si>
  <si>
    <t>- Bunga, berisi bunga sesuai waktu yang berlaku mulai bulan ke-n</t>
  </si>
  <si>
    <t>- Pinjaman, menunjukkan saldo pinjaman sesuai dengan bunga yang berlaku mulai bulan ke-n</t>
  </si>
  <si>
    <t>- Pengurang, berisi angka pengurang periode bulan karena untuk setiap bunga yang berlaku pada bulan ke-n, selalu diawali periode pertama atau 1</t>
  </si>
  <si>
    <t>Bunga Pinjaman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</si>
</sst>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dddd"/>
    <numFmt numFmtId="165" formatCode="0\ &quot;bulan &quot;"/>
    <numFmt numFmtId="166" formatCode="mmmm\ yyyy"/>
    <numFmt numFmtId="167" formatCode="General\ &quot;Tahun &quot;"/>
    <numFmt numFmtId="168" formatCode="&quot;Uang Muka (minimal &quot;0%&quot;)&quot;"/>
    <numFmt numFmtId="169" formatCode="General\ &quot;Tahun&quot;"/>
    <numFmt numFmtId="170" formatCode="#,##0\ "/>
    <numFmt numFmtId="171" formatCode="General\ &quot;bulan&quot;"/>
    <numFmt numFmtId="172" formatCode="0.000%"/>
    <numFmt numFmtId="173" formatCode="#,##0_ ;[Red]\-#,##0\ "/>
    <numFmt numFmtId="174" formatCode="&quot;ke-&quot;\ General"/>
    <numFmt numFmtId="175" formatCode="[$-421]dd\ mmmm\ yyyy;@"/>
  </numFmts>
  <fonts count="31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4"/>
      <color rgb="FF0000FF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  <charset val="1"/>
    </font>
    <font>
      <b/>
      <sz val="11"/>
      <color rgb="FF0000FF"/>
      <name val="Calibri"/>
      <family val="2"/>
    </font>
    <font>
      <sz val="11"/>
      <color indexed="9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thin">
        <color theme="0"/>
      </right>
      <top/>
      <bottom style="medium">
        <color rgb="FFFF0000"/>
      </bottom>
      <diagonal/>
    </border>
  </borders>
  <cellStyleXfs count="10">
    <xf numFmtId="0" fontId="0" fillId="0" borderId="0"/>
    <xf numFmtId="0" fontId="13" fillId="0" borderId="0"/>
    <xf numFmtId="0" fontId="11" fillId="0" borderId="0"/>
    <xf numFmtId="0" fontId="18" fillId="0" borderId="0"/>
    <xf numFmtId="0" fontId="13" fillId="0" borderId="0"/>
    <xf numFmtId="0" fontId="11" fillId="0" borderId="0"/>
    <xf numFmtId="0" fontId="11" fillId="0" borderId="0"/>
    <xf numFmtId="0" fontId="13" fillId="0" borderId="0" applyFont="0" applyFill="0" applyBorder="0" applyAlignment="0" applyProtection="0"/>
    <xf numFmtId="0" fontId="11" fillId="0" borderId="0"/>
    <xf numFmtId="0" fontId="11" fillId="0" borderId="0"/>
  </cellStyleXfs>
  <cellXfs count="311">
    <xf numFmtId="0" fontId="0" fillId="0" borderId="0" xfId="0"/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horizontal="left" vertical="center" indent="1"/>
    </xf>
    <xf numFmtId="37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37" fontId="1" fillId="3" borderId="2" xfId="0" applyNumberFormat="1" applyFont="1" applyFill="1" applyBorder="1" applyAlignment="1">
      <alignment horizontal="right" vertical="center"/>
    </xf>
    <xf numFmtId="37" fontId="1" fillId="5" borderId="0" xfId="0" applyNumberFormat="1" applyFont="1" applyFill="1" applyAlignment="1">
      <alignment vertical="center"/>
    </xf>
    <xf numFmtId="0" fontId="0" fillId="0" borderId="0" xfId="0" applyAlignment="1">
      <alignment horizontal="right" vertical="center" indent="1"/>
    </xf>
    <xf numFmtId="37" fontId="0" fillId="6" borderId="0" xfId="0" applyNumberFormat="1" applyFill="1" applyAlignment="1">
      <alignment horizontal="right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indent="2"/>
    </xf>
    <xf numFmtId="37" fontId="0" fillId="0" borderId="0" xfId="0" applyNumberForma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7" fontId="0" fillId="0" borderId="3" xfId="0" applyNumberFormat="1" applyBorder="1" applyAlignment="1">
      <alignment vertical="center"/>
    </xf>
    <xf numFmtId="0" fontId="0" fillId="7" borderId="0" xfId="0" applyFill="1" applyAlignment="1">
      <alignment horizontal="left" vertical="center" indent="1"/>
    </xf>
    <xf numFmtId="0" fontId="0" fillId="10" borderId="0" xfId="0" applyFill="1" applyAlignment="1">
      <alignment horizontal="left" vertical="center" indent="1"/>
    </xf>
    <xf numFmtId="37" fontId="0" fillId="11" borderId="0" xfId="0" applyNumberFormat="1" applyFill="1" applyAlignment="1">
      <alignment vertical="center"/>
    </xf>
    <xf numFmtId="37" fontId="0" fillId="6" borderId="0" xfId="0" applyNumberFormat="1" applyFill="1" applyAlignment="1">
      <alignment vertical="center"/>
    </xf>
    <xf numFmtId="0" fontId="0" fillId="6" borderId="0" xfId="0" applyFill="1" applyAlignment="1">
      <alignment horizontal="right" vertical="center" indent="1"/>
    </xf>
    <xf numFmtId="37" fontId="1" fillId="3" borderId="0" xfId="0" applyNumberFormat="1" applyFont="1" applyFill="1" applyAlignment="1">
      <alignment vertical="center"/>
    </xf>
    <xf numFmtId="164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6" borderId="0" xfId="0" applyFill="1" applyAlignment="1">
      <alignment horizontal="left" vertical="center" indent="1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5" xfId="0" applyFill="1" applyBorder="1" applyAlignment="1">
      <alignment horizontal="left" vertical="center" indent="1"/>
    </xf>
    <xf numFmtId="0" fontId="1" fillId="9" borderId="0" xfId="0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11" borderId="3" xfId="0" applyFill="1" applyBorder="1" applyAlignment="1">
      <alignment vertical="center"/>
    </xf>
    <xf numFmtId="0" fontId="0" fillId="11" borderId="3" xfId="0" applyFill="1" applyBorder="1" applyAlignment="1">
      <alignment horizontal="left" vertical="center" indent="1"/>
    </xf>
    <xf numFmtId="37" fontId="0" fillId="11" borderId="3" xfId="0" applyNumberFormat="1" applyFill="1" applyBorder="1" applyAlignment="1">
      <alignment horizontal="right" vertical="center"/>
    </xf>
    <xf numFmtId="37" fontId="0" fillId="6" borderId="3" xfId="0" applyNumberFormat="1" applyFill="1" applyBorder="1" applyAlignment="1">
      <alignment horizontal="right" vertical="center"/>
    </xf>
    <xf numFmtId="0" fontId="1" fillId="12" borderId="0" xfId="0" applyFont="1" applyFill="1" applyAlignment="1">
      <alignment horizontal="center" vertical="center"/>
    </xf>
    <xf numFmtId="37" fontId="1" fillId="8" borderId="0" xfId="0" applyNumberFormat="1" applyFont="1" applyFill="1" applyAlignment="1">
      <alignment vertical="center"/>
    </xf>
    <xf numFmtId="0" fontId="0" fillId="11" borderId="0" xfId="0" applyFill="1" applyAlignment="1">
      <alignment horizontal="right" vertical="center" indent="1"/>
    </xf>
    <xf numFmtId="0" fontId="1" fillId="0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left" vertical="center" indent="1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7" fontId="0" fillId="0" borderId="0" xfId="0" applyNumberFormat="1" applyAlignment="1" applyProtection="1">
      <alignment vertical="center"/>
      <protection locked="0"/>
    </xf>
    <xf numFmtId="0" fontId="0" fillId="6" borderId="6" xfId="0" applyFill="1" applyBorder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37" fontId="0" fillId="6" borderId="1" xfId="0" applyNumberFormat="1" applyFill="1" applyBorder="1" applyAlignment="1">
      <alignment horizontal="right" vertical="center"/>
    </xf>
    <xf numFmtId="0" fontId="8" fillId="12" borderId="0" xfId="0" applyFont="1" applyFill="1" applyBorder="1" applyAlignment="1">
      <alignment horizontal="left" vertical="center" indent="1"/>
    </xf>
    <xf numFmtId="37" fontId="0" fillId="6" borderId="0" xfId="0" applyNumberFormat="1" applyFill="1" applyBorder="1" applyAlignment="1">
      <alignment horizontal="right" vertical="center"/>
    </xf>
    <xf numFmtId="0" fontId="8" fillId="12" borderId="7" xfId="0" applyFont="1" applyFill="1" applyBorder="1" applyAlignment="1">
      <alignment horizontal="left" vertical="center" indent="1"/>
    </xf>
    <xf numFmtId="37" fontId="0" fillId="6" borderId="8" xfId="0" applyNumberFormat="1" applyFill="1" applyBorder="1" applyAlignment="1">
      <alignment horizontal="right" vertical="center"/>
    </xf>
    <xf numFmtId="37" fontId="0" fillId="6" borderId="7" xfId="0" applyNumberFormat="1" applyFill="1" applyBorder="1" applyAlignment="1">
      <alignment horizontal="right" vertical="center"/>
    </xf>
    <xf numFmtId="0" fontId="0" fillId="6" borderId="0" xfId="0" applyFill="1" applyAlignment="1">
      <alignment vertical="center"/>
    </xf>
    <xf numFmtId="37" fontId="1" fillId="9" borderId="1" xfId="0" applyNumberFormat="1" applyFont="1" applyFill="1" applyBorder="1" applyAlignment="1">
      <alignment horizontal="right" vertical="center"/>
    </xf>
    <xf numFmtId="37" fontId="1" fillId="9" borderId="0" xfId="0" applyNumberFormat="1" applyFont="1" applyFill="1" applyAlignment="1">
      <alignment horizontal="right" vertical="center"/>
    </xf>
    <xf numFmtId="0" fontId="8" fillId="12" borderId="11" xfId="0" applyFont="1" applyFill="1" applyBorder="1" applyAlignment="1">
      <alignment horizontal="left" vertical="center" indent="1"/>
    </xf>
    <xf numFmtId="37" fontId="0" fillId="6" borderId="12" xfId="0" applyNumberFormat="1" applyFill="1" applyBorder="1" applyAlignment="1">
      <alignment horizontal="right" vertical="center"/>
    </xf>
    <xf numFmtId="37" fontId="0" fillId="6" borderId="11" xfId="0" applyNumberFormat="1" applyFill="1" applyBorder="1" applyAlignment="1">
      <alignment horizontal="right" vertical="center"/>
    </xf>
    <xf numFmtId="37" fontId="0" fillId="6" borderId="1" xfId="0" applyNumberFormat="1" applyFill="1" applyBorder="1" applyAlignment="1">
      <alignment vertical="center"/>
    </xf>
    <xf numFmtId="37" fontId="0" fillId="0" borderId="1" xfId="0" applyNumberFormat="1" applyBorder="1" applyAlignment="1">
      <alignment vertical="center"/>
    </xf>
    <xf numFmtId="0" fontId="0" fillId="14" borderId="11" xfId="0" applyFill="1" applyBorder="1" applyAlignment="1">
      <alignment horizontal="left" vertical="center" indent="1"/>
    </xf>
    <xf numFmtId="37" fontId="0" fillId="6" borderId="12" xfId="0" applyNumberFormat="1" applyFill="1" applyBorder="1" applyAlignment="1">
      <alignment vertical="center"/>
    </xf>
    <xf numFmtId="37" fontId="0" fillId="6" borderId="11" xfId="0" applyNumberFormat="1" applyFill="1" applyBorder="1" applyAlignment="1">
      <alignment vertical="center"/>
    </xf>
    <xf numFmtId="0" fontId="0" fillId="14" borderId="0" xfId="0" applyFill="1" applyBorder="1" applyAlignment="1">
      <alignment horizontal="left" vertical="center" indent="1"/>
    </xf>
    <xf numFmtId="37" fontId="0" fillId="6" borderId="0" xfId="0" applyNumberFormat="1" applyFill="1" applyBorder="1" applyAlignment="1">
      <alignment vertical="center"/>
    </xf>
    <xf numFmtId="0" fontId="0" fillId="14" borderId="7" xfId="0" applyFill="1" applyBorder="1" applyAlignment="1">
      <alignment horizontal="left" vertical="center" indent="1"/>
    </xf>
    <xf numFmtId="37" fontId="0" fillId="6" borderId="8" xfId="0" applyNumberFormat="1" applyFill="1" applyBorder="1" applyAlignment="1">
      <alignment vertical="center"/>
    </xf>
    <xf numFmtId="37" fontId="0" fillId="6" borderId="7" xfId="0" applyNumberFormat="1" applyFill="1" applyBorder="1" applyAlignment="1">
      <alignment vertical="center"/>
    </xf>
    <xf numFmtId="37" fontId="1" fillId="9" borderId="1" xfId="0" applyNumberFormat="1" applyFont="1" applyFill="1" applyBorder="1" applyAlignment="1">
      <alignment vertical="center"/>
    </xf>
    <xf numFmtId="37" fontId="1" fillId="9" borderId="0" xfId="0" applyNumberFormat="1" applyFont="1" applyFill="1" applyAlignment="1">
      <alignment vertical="center"/>
    </xf>
    <xf numFmtId="0" fontId="0" fillId="11" borderId="0" xfId="0" applyFill="1" applyAlignment="1">
      <alignment horizontal="left" vertical="center" indent="1"/>
    </xf>
    <xf numFmtId="0" fontId="0" fillId="6" borderId="13" xfId="0" applyFill="1" applyBorder="1" applyAlignment="1">
      <alignment horizontal="left" vertical="center" indent="1"/>
    </xf>
    <xf numFmtId="0" fontId="1" fillId="9" borderId="14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8" fillId="0" borderId="0" xfId="3" applyAlignment="1">
      <alignment vertical="center"/>
    </xf>
    <xf numFmtId="0" fontId="19" fillId="0" borderId="0" xfId="3" applyFont="1" applyAlignment="1">
      <alignment vertical="center"/>
    </xf>
    <xf numFmtId="0" fontId="21" fillId="0" borderId="0" xfId="3" applyFont="1" applyAlignment="1">
      <alignment vertical="center"/>
    </xf>
    <xf numFmtId="0" fontId="18" fillId="0" borderId="0" xfId="3" applyAlignment="1">
      <alignment horizontal="left" vertical="center" indent="18"/>
    </xf>
    <xf numFmtId="37" fontId="18" fillId="0" borderId="0" xfId="3" applyNumberFormat="1" applyAlignment="1">
      <alignment vertical="center"/>
    </xf>
    <xf numFmtId="0" fontId="22" fillId="0" borderId="0" xfId="3" applyFont="1" applyAlignment="1">
      <alignment vertical="center"/>
    </xf>
    <xf numFmtId="0" fontId="1" fillId="17" borderId="0" xfId="4" applyFont="1" applyFill="1" applyBorder="1" applyAlignment="1">
      <alignment horizontal="left" vertical="center" indent="1"/>
    </xf>
    <xf numFmtId="0" fontId="1" fillId="17" borderId="0" xfId="4" applyFont="1" applyFill="1" applyBorder="1" applyAlignment="1">
      <alignment vertical="center"/>
    </xf>
    <xf numFmtId="0" fontId="18" fillId="17" borderId="0" xfId="3" applyFill="1" applyAlignment="1">
      <alignment vertical="center"/>
    </xf>
    <xf numFmtId="0" fontId="21" fillId="0" borderId="0" xfId="3" applyFont="1" applyFill="1" applyAlignment="1">
      <alignment vertical="center"/>
    </xf>
    <xf numFmtId="0" fontId="12" fillId="0" borderId="17" xfId="4" applyFont="1" applyFill="1" applyBorder="1" applyAlignment="1">
      <alignment horizontal="center" vertical="center"/>
    </xf>
    <xf numFmtId="0" fontId="20" fillId="17" borderId="0" xfId="3" applyFont="1" applyFill="1" applyAlignment="1">
      <alignment horizontal="left" vertical="center" indent="1"/>
    </xf>
    <xf numFmtId="167" fontId="1" fillId="17" borderId="17" xfId="4" applyNumberFormat="1" applyFont="1" applyFill="1" applyBorder="1" applyAlignment="1">
      <alignment horizontal="center" vertical="center"/>
    </xf>
    <xf numFmtId="167" fontId="1" fillId="17" borderId="18" xfId="4" applyNumberFormat="1" applyFont="1" applyFill="1" applyBorder="1" applyAlignment="1">
      <alignment horizontal="center" vertical="center"/>
    </xf>
    <xf numFmtId="0" fontId="14" fillId="0" borderId="23" xfId="4" applyFont="1" applyBorder="1" applyAlignment="1">
      <alignment horizontal="right" vertical="center" indent="1"/>
    </xf>
    <xf numFmtId="10" fontId="18" fillId="0" borderId="0" xfId="3" applyNumberFormat="1" applyAlignment="1">
      <alignment vertical="center"/>
    </xf>
    <xf numFmtId="0" fontId="14" fillId="16" borderId="0" xfId="4" applyFont="1" applyFill="1" applyBorder="1" applyAlignment="1">
      <alignment vertical="center"/>
    </xf>
    <xf numFmtId="0" fontId="1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" fillId="0" borderId="0" xfId="4" applyFont="1" applyFill="1" applyAlignment="1">
      <alignment vertical="center"/>
    </xf>
    <xf numFmtId="0" fontId="16" fillId="0" borderId="0" xfId="4" applyFont="1" applyAlignment="1">
      <alignment vertical="center"/>
    </xf>
    <xf numFmtId="0" fontId="1" fillId="16" borderId="0" xfId="4" applyFont="1" applyFill="1" applyBorder="1" applyAlignment="1">
      <alignment horizontal="left" vertical="center" indent="1"/>
    </xf>
    <xf numFmtId="0" fontId="1" fillId="16" borderId="0" xfId="4" applyFont="1" applyFill="1" applyBorder="1" applyAlignment="1">
      <alignment vertical="center"/>
    </xf>
    <xf numFmtId="0" fontId="1" fillId="0" borderId="0" xfId="4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0" fontId="14" fillId="0" borderId="0" xfId="4" applyFont="1" applyFill="1" applyAlignment="1">
      <alignment vertical="center"/>
    </xf>
    <xf numFmtId="0" fontId="23" fillId="0" borderId="0" xfId="4" applyFont="1" applyAlignment="1">
      <alignment vertical="center"/>
    </xf>
    <xf numFmtId="0" fontId="7" fillId="0" borderId="0" xfId="4" applyFont="1" applyFill="1" applyBorder="1" applyAlignment="1">
      <alignment horizontal="left" vertical="center" indent="2"/>
    </xf>
    <xf numFmtId="0" fontId="1" fillId="16" borderId="0" xfId="4" applyFont="1" applyFill="1" applyAlignment="1">
      <alignment horizontal="left" vertical="center" indent="1"/>
    </xf>
    <xf numFmtId="0" fontId="1" fillId="16" borderId="0" xfId="4" applyFont="1" applyFill="1" applyAlignment="1">
      <alignment vertical="center"/>
    </xf>
    <xf numFmtId="10" fontId="7" fillId="0" borderId="0" xfId="4" applyNumberFormat="1" applyFont="1" applyFill="1" applyAlignment="1">
      <alignment horizontal="center" vertical="center"/>
    </xf>
    <xf numFmtId="3" fontId="14" fillId="18" borderId="0" xfId="4" applyNumberFormat="1" applyFont="1" applyFill="1" applyAlignment="1">
      <alignment vertical="center"/>
    </xf>
    <xf numFmtId="0" fontId="14" fillId="20" borderId="0" xfId="4" applyFont="1" applyFill="1" applyAlignment="1">
      <alignment vertical="center"/>
    </xf>
    <xf numFmtId="0" fontId="7" fillId="0" borderId="0" xfId="4" applyFont="1" applyAlignment="1"/>
    <xf numFmtId="167" fontId="1" fillId="16" borderId="17" xfId="4" applyNumberFormat="1" applyFont="1" applyFill="1" applyBorder="1" applyAlignment="1">
      <alignment horizontal="center" vertical="center"/>
    </xf>
    <xf numFmtId="167" fontId="1" fillId="16" borderId="18" xfId="4" applyNumberFormat="1" applyFont="1" applyFill="1" applyBorder="1" applyAlignment="1">
      <alignment horizontal="center" vertical="center"/>
    </xf>
    <xf numFmtId="37" fontId="14" fillId="0" borderId="23" xfId="4" applyNumberFormat="1" applyFont="1" applyBorder="1" applyAlignment="1">
      <alignment horizontal="right" vertical="center" indent="2"/>
    </xf>
    <xf numFmtId="0" fontId="14" fillId="21" borderId="0" xfId="4" applyFont="1" applyFill="1" applyBorder="1" applyAlignment="1">
      <alignment vertical="center"/>
    </xf>
    <xf numFmtId="0" fontId="1" fillId="12" borderId="0" xfId="0" applyFont="1" applyFill="1" applyAlignment="1">
      <alignment horizontal="left" vertical="center" indent="1"/>
    </xf>
    <xf numFmtId="0" fontId="1" fillId="12" borderId="0" xfId="0" applyFont="1" applyFill="1" applyAlignment="1">
      <alignment vertical="center"/>
    </xf>
    <xf numFmtId="0" fontId="1" fillId="12" borderId="11" xfId="0" applyFont="1" applyFill="1" applyBorder="1" applyAlignment="1">
      <alignment horizontal="left" vertical="center" indent="1"/>
    </xf>
    <xf numFmtId="0" fontId="1" fillId="12" borderId="11" xfId="0" applyFont="1" applyFill="1" applyBorder="1" applyAlignment="1">
      <alignment vertical="center"/>
    </xf>
    <xf numFmtId="0" fontId="1" fillId="12" borderId="7" xfId="0" applyFont="1" applyFill="1" applyBorder="1" applyAlignment="1">
      <alignment horizontal="left" vertical="center" indent="1"/>
    </xf>
    <xf numFmtId="0" fontId="1" fillId="12" borderId="7" xfId="0" applyFont="1" applyFill="1" applyBorder="1" applyAlignment="1">
      <alignment vertical="center"/>
    </xf>
    <xf numFmtId="3" fontId="0" fillId="6" borderId="15" xfId="0" applyNumberFormat="1" applyFill="1" applyBorder="1" applyAlignment="1">
      <alignment horizontal="right" vertical="center" indent="1"/>
    </xf>
    <xf numFmtId="3" fontId="0" fillId="2" borderId="24" xfId="0" applyNumberFormat="1" applyFill="1" applyBorder="1" applyAlignment="1">
      <alignment horizontal="right" vertical="center" indent="1"/>
    </xf>
    <xf numFmtId="10" fontId="0" fillId="6" borderId="9" xfId="0" applyNumberFormat="1" applyFill="1" applyBorder="1" applyAlignment="1">
      <alignment horizontal="right" vertical="center" indent="1"/>
    </xf>
    <xf numFmtId="169" fontId="0" fillId="6" borderId="16" xfId="0" applyNumberFormat="1" applyFill="1" applyBorder="1" applyAlignment="1">
      <alignment horizontal="right" vertical="center" indent="1"/>
    </xf>
    <xf numFmtId="0" fontId="0" fillId="7" borderId="2" xfId="0" applyFill="1" applyBorder="1" applyAlignment="1">
      <alignment horizontal="left" vertical="center" indent="1"/>
    </xf>
    <xf numFmtId="0" fontId="0" fillId="7" borderId="2" xfId="0" applyFill="1" applyBorder="1" applyAlignment="1">
      <alignment vertical="center"/>
    </xf>
    <xf numFmtId="14" fontId="0" fillId="6" borderId="9" xfId="0" applyNumberFormat="1" applyFill="1" applyBorder="1" applyAlignment="1">
      <alignment horizontal="right" vertical="center" indent="1"/>
    </xf>
    <xf numFmtId="14" fontId="0" fillId="6" borderId="15" xfId="0" applyNumberFormat="1" applyFill="1" applyBorder="1" applyAlignment="1">
      <alignment horizontal="right" vertical="center" indent="1"/>
    </xf>
    <xf numFmtId="0" fontId="1" fillId="12" borderId="0" xfId="0" applyFont="1" applyFill="1" applyAlignment="1">
      <alignment horizontal="left" vertical="center" indent="2"/>
    </xf>
    <xf numFmtId="0" fontId="1" fillId="12" borderId="0" xfId="0" applyFont="1" applyFill="1" applyAlignment="1">
      <alignment horizontal="right" vertical="center" indent="1"/>
    </xf>
    <xf numFmtId="0" fontId="1" fillId="8" borderId="0" xfId="0" applyFont="1" applyFill="1" applyBorder="1" applyAlignment="1">
      <alignment horizontal="left" vertical="center" indent="1"/>
    </xf>
    <xf numFmtId="0" fontId="1" fillId="8" borderId="7" xfId="0" applyFont="1" applyFill="1" applyBorder="1" applyAlignment="1">
      <alignment horizontal="left" vertical="center" indent="1"/>
    </xf>
    <xf numFmtId="10" fontId="1" fillId="7" borderId="26" xfId="0" applyNumberFormat="1" applyFont="1" applyFill="1" applyBorder="1" applyAlignment="1">
      <alignment horizontal="left" vertical="center" indent="1"/>
    </xf>
    <xf numFmtId="3" fontId="0" fillId="6" borderId="16" xfId="0" applyNumberFormat="1" applyFill="1" applyBorder="1" applyAlignment="1">
      <alignment horizontal="right" vertical="center" indent="1"/>
    </xf>
    <xf numFmtId="3" fontId="0" fillId="2" borderId="25" xfId="0" applyNumberFormat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170" fontId="14" fillId="0" borderId="23" xfId="4" applyNumberFormat="1" applyFont="1" applyBorder="1" applyAlignment="1">
      <alignment horizontal="right" vertical="center"/>
    </xf>
    <xf numFmtId="170" fontId="14" fillId="0" borderId="23" xfId="4" applyNumberFormat="1" applyFont="1" applyBorder="1" applyAlignment="1">
      <alignment vertical="center"/>
    </xf>
    <xf numFmtId="0" fontId="20" fillId="8" borderId="0" xfId="3" applyFont="1" applyFill="1" applyAlignment="1">
      <alignment horizontal="left" vertical="center" indent="1"/>
    </xf>
    <xf numFmtId="0" fontId="20" fillId="8" borderId="7" xfId="3" applyFont="1" applyFill="1" applyBorder="1" applyAlignment="1">
      <alignment horizontal="left" vertical="center" indent="1"/>
    </xf>
    <xf numFmtId="0" fontId="20" fillId="12" borderId="0" xfId="3" applyFont="1" applyFill="1" applyAlignment="1">
      <alignment horizontal="left" vertical="center" indent="1"/>
    </xf>
    <xf numFmtId="0" fontId="1" fillId="8" borderId="0" xfId="4" applyFont="1" applyFill="1" applyBorder="1" applyAlignment="1">
      <alignment horizontal="left" vertical="center" indent="1"/>
    </xf>
    <xf numFmtId="0" fontId="1" fillId="8" borderId="0" xfId="4" applyFont="1" applyFill="1" applyBorder="1" applyAlignment="1">
      <alignment vertical="center"/>
    </xf>
    <xf numFmtId="10" fontId="1" fillId="8" borderId="0" xfId="4" applyNumberFormat="1" applyFont="1" applyFill="1" applyBorder="1" applyAlignment="1">
      <alignment horizontal="center" vertical="center"/>
    </xf>
    <xf numFmtId="0" fontId="1" fillId="8" borderId="7" xfId="4" applyFont="1" applyFill="1" applyBorder="1" applyAlignment="1">
      <alignment horizontal="left" vertical="center" indent="1"/>
    </xf>
    <xf numFmtId="0" fontId="1" fillId="8" borderId="7" xfId="4" applyFont="1" applyFill="1" applyBorder="1" applyAlignment="1">
      <alignment vertical="center"/>
    </xf>
    <xf numFmtId="0" fontId="1" fillId="8" borderId="20" xfId="4" applyFont="1" applyFill="1" applyBorder="1" applyAlignment="1">
      <alignment horizontal="left" vertical="center" indent="1"/>
    </xf>
    <xf numFmtId="0" fontId="1" fillId="8" borderId="20" xfId="4" applyFont="1" applyFill="1" applyBorder="1" applyAlignment="1">
      <alignment vertical="center"/>
    </xf>
    <xf numFmtId="0" fontId="1" fillId="8" borderId="0" xfId="4" applyFont="1" applyFill="1" applyAlignment="1">
      <alignment vertical="center"/>
    </xf>
    <xf numFmtId="0" fontId="1" fillId="8" borderId="0" xfId="4" applyFont="1" applyFill="1" applyAlignment="1">
      <alignment horizontal="left" vertical="center" indent="1"/>
    </xf>
    <xf numFmtId="0" fontId="14" fillId="8" borderId="0" xfId="4" applyFont="1" applyFill="1" applyBorder="1" applyAlignment="1">
      <alignment vertical="center"/>
    </xf>
    <xf numFmtId="0" fontId="16" fillId="12" borderId="15" xfId="4" applyFont="1" applyFill="1" applyBorder="1" applyAlignment="1">
      <alignment vertical="center"/>
    </xf>
    <xf numFmtId="10" fontId="1" fillId="12" borderId="13" xfId="4" applyNumberFormat="1" applyFont="1" applyFill="1" applyBorder="1" applyAlignment="1">
      <alignment horizontal="center" vertical="center"/>
    </xf>
    <xf numFmtId="10" fontId="1" fillId="10" borderId="0" xfId="4" applyNumberFormat="1" applyFont="1" applyFill="1" applyBorder="1" applyAlignment="1">
      <alignment horizontal="center" vertical="center"/>
    </xf>
    <xf numFmtId="0" fontId="11" fillId="0" borderId="0" xfId="5" applyAlignment="1">
      <alignment horizontal="left" vertical="center"/>
    </xf>
    <xf numFmtId="0" fontId="11" fillId="0" borderId="0" xfId="5" applyFill="1" applyAlignment="1">
      <alignment horizontal="left" vertical="center"/>
    </xf>
    <xf numFmtId="0" fontId="15" fillId="0" borderId="0" xfId="6" applyFont="1" applyAlignment="1">
      <alignment vertical="center"/>
    </xf>
    <xf numFmtId="0" fontId="11" fillId="0" borderId="0" xfId="6" applyAlignment="1">
      <alignment vertical="center"/>
    </xf>
    <xf numFmtId="0" fontId="8" fillId="0" borderId="0" xfId="5" applyFont="1" applyAlignment="1">
      <alignment horizontal="left" vertical="center"/>
    </xf>
    <xf numFmtId="37" fontId="17" fillId="6" borderId="15" xfId="6" applyNumberFormat="1" applyFont="1" applyFill="1" applyBorder="1" applyAlignment="1">
      <alignment horizontal="left" vertical="center" indent="1"/>
    </xf>
    <xf numFmtId="40" fontId="14" fillId="0" borderId="0" xfId="1" applyNumberFormat="1" applyFont="1" applyFill="1" applyBorder="1" applyAlignment="1">
      <alignment horizontal="left" vertical="center" indent="1"/>
    </xf>
    <xf numFmtId="171" fontId="17" fillId="6" borderId="15" xfId="6" applyNumberFormat="1" applyFont="1" applyFill="1" applyBorder="1" applyAlignment="1">
      <alignment horizontal="left" vertical="center" indent="1"/>
    </xf>
    <xf numFmtId="171" fontId="14" fillId="0" borderId="0" xfId="1" applyNumberFormat="1" applyFont="1" applyFill="1" applyBorder="1" applyAlignment="1">
      <alignment horizontal="left" vertical="center" indent="1"/>
    </xf>
    <xf numFmtId="0" fontId="4" fillId="0" borderId="0" xfId="5" applyFont="1" applyAlignment="1">
      <alignment horizontal="left" vertical="center"/>
    </xf>
    <xf numFmtId="10" fontId="17" fillId="6" borderId="16" xfId="6" applyNumberFormat="1" applyFont="1" applyFill="1" applyBorder="1" applyAlignment="1">
      <alignment horizontal="left" vertical="center" indent="1"/>
    </xf>
    <xf numFmtId="37" fontId="14" fillId="0" borderId="0" xfId="1" applyNumberFormat="1" applyFont="1" applyFill="1" applyBorder="1" applyAlignment="1">
      <alignment horizontal="left" vertical="center" indent="1"/>
    </xf>
    <xf numFmtId="37" fontId="17" fillId="11" borderId="15" xfId="6" applyNumberFormat="1" applyFont="1" applyFill="1" applyBorder="1" applyAlignment="1">
      <alignment horizontal="left" vertical="center" indent="1"/>
    </xf>
    <xf numFmtId="0" fontId="11" fillId="0" borderId="0" xfId="5" applyFill="1" applyBorder="1" applyAlignment="1">
      <alignment horizontal="left" vertical="center"/>
    </xf>
    <xf numFmtId="172" fontId="1" fillId="0" borderId="0" xfId="1" applyNumberFormat="1" applyFont="1" applyFill="1" applyBorder="1" applyAlignment="1">
      <alignment horizontal="left" vertical="center" indent="1"/>
    </xf>
    <xf numFmtId="171" fontId="14" fillId="6" borderId="15" xfId="1" applyNumberFormat="1" applyFont="1" applyFill="1" applyBorder="1" applyAlignment="1">
      <alignment horizontal="left" vertical="center" indent="1"/>
    </xf>
    <xf numFmtId="10" fontId="1" fillId="0" borderId="0" xfId="1" applyNumberFormat="1" applyFont="1" applyFill="1" applyBorder="1" applyAlignment="1">
      <alignment horizontal="left" vertical="center" indent="1"/>
    </xf>
    <xf numFmtId="37" fontId="14" fillId="6" borderId="15" xfId="1" applyNumberFormat="1" applyFont="1" applyFill="1" applyBorder="1" applyAlignment="1">
      <alignment horizontal="left" vertical="center" indent="1"/>
    </xf>
    <xf numFmtId="37" fontId="14" fillId="6" borderId="16" xfId="1" applyNumberFormat="1" applyFont="1" applyFill="1" applyBorder="1" applyAlignment="1">
      <alignment horizontal="left" vertical="center" indent="1"/>
    </xf>
    <xf numFmtId="10" fontId="17" fillId="11" borderId="15" xfId="1" applyNumberFormat="1" applyFont="1" applyFill="1" applyBorder="1" applyAlignment="1">
      <alignment horizontal="left" vertical="center" indent="1"/>
    </xf>
    <xf numFmtId="9" fontId="26" fillId="0" borderId="0" xfId="5" quotePrefix="1" applyNumberFormat="1" applyFont="1" applyFill="1" applyAlignment="1">
      <alignment horizontal="left" vertical="center"/>
    </xf>
    <xf numFmtId="10" fontId="11" fillId="0" borderId="0" xfId="6" applyNumberFormat="1" applyAlignment="1">
      <alignment vertical="center"/>
    </xf>
    <xf numFmtId="0" fontId="1" fillId="0" borderId="0" xfId="6" applyFont="1" applyFill="1" applyAlignment="1">
      <alignment vertical="justify"/>
    </xf>
    <xf numFmtId="0" fontId="1" fillId="8" borderId="0" xfId="6" applyFont="1" applyFill="1" applyAlignment="1">
      <alignment horizontal="left" vertical="center" indent="1"/>
    </xf>
    <xf numFmtId="0" fontId="1" fillId="8" borderId="7" xfId="6" applyFont="1" applyFill="1" applyBorder="1" applyAlignment="1">
      <alignment horizontal="left" vertical="center" indent="1"/>
    </xf>
    <xf numFmtId="0" fontId="1" fillId="8" borderId="0" xfId="1" applyFont="1" applyFill="1" applyBorder="1" applyAlignment="1">
      <alignment horizontal="left" vertical="center" indent="1"/>
    </xf>
    <xf numFmtId="0" fontId="1" fillId="8" borderId="7" xfId="1" applyFont="1" applyFill="1" applyBorder="1" applyAlignment="1">
      <alignment horizontal="left" vertical="center" indent="1"/>
    </xf>
    <xf numFmtId="0" fontId="1" fillId="12" borderId="0" xfId="6" applyFont="1" applyFill="1" applyAlignment="1">
      <alignment horizontal="center" vertical="center"/>
    </xf>
    <xf numFmtId="0" fontId="1" fillId="12" borderId="0" xfId="1" applyFont="1" applyFill="1" applyAlignment="1">
      <alignment horizontal="left" vertical="center" indent="1"/>
    </xf>
    <xf numFmtId="37" fontId="7" fillId="0" borderId="0" xfId="1" applyNumberFormat="1" applyFont="1" applyFill="1" applyBorder="1" applyAlignment="1">
      <alignment horizontal="left" vertical="center"/>
    </xf>
    <xf numFmtId="0" fontId="6" fillId="0" borderId="0" xfId="5" applyFont="1" applyFill="1" applyAlignment="1">
      <alignment horizontal="left" vertical="center"/>
    </xf>
    <xf numFmtId="40" fontId="14" fillId="13" borderId="0" xfId="1" applyNumberFormat="1" applyFont="1" applyFill="1" applyBorder="1" applyAlignment="1">
      <alignment horizontal="left" vertical="center" indent="2"/>
    </xf>
    <xf numFmtId="171" fontId="14" fillId="13" borderId="0" xfId="1" applyNumberFormat="1" applyFont="1" applyFill="1" applyBorder="1" applyAlignment="1">
      <alignment horizontal="left" vertical="center" indent="2"/>
    </xf>
    <xf numFmtId="10" fontId="14" fillId="13" borderId="15" xfId="1" applyNumberFormat="1" applyFont="1" applyFill="1" applyBorder="1" applyAlignment="1">
      <alignment horizontal="center" vertical="center"/>
    </xf>
    <xf numFmtId="0" fontId="1" fillId="8" borderId="7" xfId="5" applyFont="1" applyFill="1" applyBorder="1" applyAlignment="1">
      <alignment horizontal="center" vertical="center"/>
    </xf>
    <xf numFmtId="0" fontId="1" fillId="8" borderId="16" xfId="5" applyFont="1" applyFill="1" applyBorder="1" applyAlignment="1">
      <alignment horizontal="center" vertical="center"/>
    </xf>
    <xf numFmtId="0" fontId="1" fillId="16" borderId="7" xfId="5" applyFont="1" applyFill="1" applyBorder="1" applyAlignment="1">
      <alignment horizontal="center" vertical="center"/>
    </xf>
    <xf numFmtId="0" fontId="1" fillId="16" borderId="16" xfId="5" applyFont="1" applyFill="1" applyBorder="1" applyAlignment="1">
      <alignment horizontal="center" vertical="center"/>
    </xf>
    <xf numFmtId="0" fontId="10" fillId="0" borderId="0" xfId="5" applyFont="1" applyFill="1" applyAlignment="1">
      <alignment horizontal="left" vertical="center"/>
    </xf>
    <xf numFmtId="37" fontId="3" fillId="0" borderId="0" xfId="1" applyNumberFormat="1" applyFont="1" applyFill="1" applyBorder="1" applyAlignment="1">
      <alignment horizontal="left" vertical="center"/>
    </xf>
    <xf numFmtId="173" fontId="14" fillId="6" borderId="15" xfId="1" applyNumberFormat="1" applyFont="1" applyFill="1" applyBorder="1" applyAlignment="1">
      <alignment horizontal="left" vertical="center" indent="1"/>
    </xf>
    <xf numFmtId="172" fontId="25" fillId="11" borderId="15" xfId="1" quotePrefix="1" applyNumberFormat="1" applyFont="1" applyFill="1" applyBorder="1" applyAlignment="1">
      <alignment horizontal="left" vertical="center" indent="1"/>
    </xf>
    <xf numFmtId="37" fontId="18" fillId="15" borderId="15" xfId="3" applyNumberFormat="1" applyFill="1" applyBorder="1" applyAlignment="1">
      <alignment horizontal="right" vertical="center" indent="1"/>
    </xf>
    <xf numFmtId="9" fontId="18" fillId="15" borderId="16" xfId="3" applyNumberFormat="1" applyFill="1" applyBorder="1" applyAlignment="1">
      <alignment horizontal="right" vertical="center" indent="1"/>
    </xf>
    <xf numFmtId="37" fontId="18" fillId="4" borderId="15" xfId="3" applyNumberFormat="1" applyFill="1" applyBorder="1" applyAlignment="1">
      <alignment horizontal="right" vertical="center" indent="1"/>
    </xf>
    <xf numFmtId="170" fontId="14" fillId="14" borderId="1" xfId="4" applyNumberFormat="1" applyFont="1" applyFill="1" applyBorder="1" applyAlignment="1">
      <alignment horizontal="right" vertical="center" indent="1"/>
    </xf>
    <xf numFmtId="10" fontId="18" fillId="14" borderId="1" xfId="3" applyNumberFormat="1" applyFill="1" applyBorder="1" applyAlignment="1">
      <alignment horizontal="right" vertical="center" indent="1"/>
    </xf>
    <xf numFmtId="0" fontId="11" fillId="0" borderId="0" xfId="8" applyAlignment="1">
      <alignment horizontal="left" vertical="center"/>
    </xf>
    <xf numFmtId="166" fontId="11" fillId="0" borderId="0" xfId="8" applyNumberFormat="1" applyAlignment="1">
      <alignment horizontal="left" vertical="center"/>
    </xf>
    <xf numFmtId="1" fontId="11" fillId="0" borderId="0" xfId="8" applyNumberFormat="1" applyAlignment="1">
      <alignment horizontal="left" vertical="center"/>
    </xf>
    <xf numFmtId="0" fontId="15" fillId="0" borderId="0" xfId="8" applyFont="1" applyAlignment="1">
      <alignment horizontal="left" vertical="center"/>
    </xf>
    <xf numFmtId="0" fontId="8" fillId="0" borderId="0" xfId="8" applyFont="1" applyAlignment="1">
      <alignment horizontal="left" vertical="center"/>
    </xf>
    <xf numFmtId="0" fontId="1" fillId="3" borderId="0" xfId="8" applyFont="1" applyFill="1" applyAlignment="1">
      <alignment horizontal="left" vertical="center" indent="1"/>
    </xf>
    <xf numFmtId="0" fontId="1" fillId="3" borderId="0" xfId="8" applyFont="1" applyFill="1" applyAlignment="1">
      <alignment horizontal="left" vertical="center"/>
    </xf>
    <xf numFmtId="0" fontId="29" fillId="3" borderId="0" xfId="8" applyFont="1" applyFill="1" applyAlignment="1">
      <alignment horizontal="left" vertical="center"/>
    </xf>
    <xf numFmtId="0" fontId="11" fillId="3" borderId="0" xfId="8" applyFill="1" applyAlignment="1">
      <alignment horizontal="left" vertical="center"/>
    </xf>
    <xf numFmtId="0" fontId="1" fillId="3" borderId="15" xfId="8" applyFont="1" applyFill="1" applyBorder="1" applyAlignment="1">
      <alignment horizontal="left" vertical="center" indent="1"/>
    </xf>
    <xf numFmtId="0" fontId="1" fillId="3" borderId="13" xfId="8" applyFont="1" applyFill="1" applyBorder="1" applyAlignment="1">
      <alignment horizontal="left" vertical="center"/>
    </xf>
    <xf numFmtId="165" fontId="11" fillId="11" borderId="13" xfId="8" applyNumberFormat="1" applyFill="1" applyBorder="1" applyAlignment="1">
      <alignment horizontal="left" vertical="center" indent="1"/>
    </xf>
    <xf numFmtId="165" fontId="30" fillId="3" borderId="0" xfId="8" applyNumberFormat="1" applyFont="1" applyFill="1" applyAlignment="1">
      <alignment horizontal="left" vertical="center"/>
    </xf>
    <xf numFmtId="0" fontId="1" fillId="3" borderId="0" xfId="8" applyFont="1" applyFill="1" applyAlignment="1">
      <alignment horizontal="right" vertical="center" indent="1"/>
    </xf>
    <xf numFmtId="174" fontId="14" fillId="6" borderId="9" xfId="1" applyNumberFormat="1" applyFont="1" applyFill="1" applyBorder="1" applyAlignment="1">
      <alignment horizontal="left" vertical="center"/>
    </xf>
    <xf numFmtId="10" fontId="17" fillId="11" borderId="9" xfId="9" applyNumberFormat="1" applyFont="1" applyFill="1" applyBorder="1" applyAlignment="1">
      <alignment horizontal="left" vertical="center" indent="1"/>
    </xf>
    <xf numFmtId="37" fontId="11" fillId="11" borderId="1" xfId="8" applyNumberFormat="1" applyFill="1" applyBorder="1" applyAlignment="1">
      <alignment horizontal="left" vertical="center" indent="1"/>
    </xf>
    <xf numFmtId="0" fontId="1" fillId="0" borderId="0" xfId="8" applyFont="1" applyFill="1" applyAlignment="1">
      <alignment horizontal="left" vertical="center"/>
    </xf>
    <xf numFmtId="0" fontId="7" fillId="0" borderId="0" xfId="8" applyFont="1" applyAlignment="1">
      <alignment horizontal="left" vertical="center"/>
    </xf>
    <xf numFmtId="0" fontId="30" fillId="3" borderId="0" xfId="8" applyFont="1" applyFill="1" applyAlignment="1">
      <alignment horizontal="left" vertical="center"/>
    </xf>
    <xf numFmtId="174" fontId="14" fillId="6" borderId="15" xfId="1" applyNumberFormat="1" applyFont="1" applyFill="1" applyBorder="1" applyAlignment="1">
      <alignment horizontal="left" vertical="center"/>
    </xf>
    <xf numFmtId="10" fontId="17" fillId="11" borderId="15" xfId="9" applyNumberFormat="1" applyFont="1" applyFill="1" applyBorder="1" applyAlignment="1">
      <alignment horizontal="left" vertical="center" indent="1"/>
    </xf>
    <xf numFmtId="166" fontId="11" fillId="11" borderId="0" xfId="8" applyNumberFormat="1" applyFill="1" applyBorder="1" applyAlignment="1">
      <alignment horizontal="left" vertical="center" indent="1"/>
    </xf>
    <xf numFmtId="0" fontId="14" fillId="0" borderId="0" xfId="8" applyFont="1" applyAlignment="1">
      <alignment horizontal="left" vertical="center"/>
    </xf>
    <xf numFmtId="1" fontId="11" fillId="11" borderId="0" xfId="8" applyNumberFormat="1" applyFill="1" applyBorder="1" applyAlignment="1">
      <alignment horizontal="left" vertical="center" indent="1"/>
    </xf>
    <xf numFmtId="0" fontId="16" fillId="0" borderId="0" xfId="8" applyFont="1" applyFill="1" applyAlignment="1">
      <alignment horizontal="left" vertical="center"/>
    </xf>
    <xf numFmtId="0" fontId="1" fillId="3" borderId="0" xfId="8" applyFont="1" applyFill="1" applyBorder="1" applyAlignment="1">
      <alignment horizontal="center" vertical="center"/>
    </xf>
    <xf numFmtId="37" fontId="11" fillId="11" borderId="0" xfId="8" applyNumberFormat="1" applyFill="1" applyBorder="1" applyAlignment="1">
      <alignment horizontal="left" vertical="center" indent="1"/>
    </xf>
    <xf numFmtId="0" fontId="1" fillId="3" borderId="7" xfId="8" applyFont="1" applyFill="1" applyBorder="1" applyAlignment="1">
      <alignment horizontal="center" vertical="center"/>
    </xf>
    <xf numFmtId="174" fontId="14" fillId="6" borderId="16" xfId="1" applyNumberFormat="1" applyFont="1" applyFill="1" applyBorder="1" applyAlignment="1">
      <alignment horizontal="left" vertical="center"/>
    </xf>
    <xf numFmtId="10" fontId="17" fillId="11" borderId="16" xfId="9" applyNumberFormat="1" applyFont="1" applyFill="1" applyBorder="1" applyAlignment="1">
      <alignment horizontal="left" vertical="center" indent="1"/>
    </xf>
    <xf numFmtId="175" fontId="11" fillId="11" borderId="0" xfId="8" applyNumberFormat="1" applyFill="1" applyBorder="1" applyAlignment="1">
      <alignment horizontal="left" vertical="center" indent="1"/>
    </xf>
    <xf numFmtId="37" fontId="11" fillId="11" borderId="0" xfId="8" applyNumberFormat="1" applyFill="1" applyAlignment="1">
      <alignment horizontal="right" vertical="center"/>
    </xf>
    <xf numFmtId="37" fontId="11" fillId="11" borderId="1" xfId="8" applyNumberFormat="1" applyFill="1" applyBorder="1" applyAlignment="1">
      <alignment horizontal="right" vertical="center"/>
    </xf>
    <xf numFmtId="0" fontId="2" fillId="0" borderId="0" xfId="8" applyFont="1" applyAlignment="1">
      <alignment horizontal="left" vertical="center"/>
    </xf>
    <xf numFmtId="0" fontId="4" fillId="0" borderId="0" xfId="8" applyFont="1" applyAlignment="1">
      <alignment horizontal="left" vertical="center"/>
    </xf>
    <xf numFmtId="37" fontId="11" fillId="0" borderId="0" xfId="8" applyNumberFormat="1" applyAlignment="1">
      <alignment horizontal="right" vertical="center"/>
    </xf>
    <xf numFmtId="0" fontId="1" fillId="3" borderId="1" xfId="8" applyFont="1" applyFill="1" applyBorder="1" applyAlignment="1">
      <alignment horizontal="center" vertical="center"/>
    </xf>
    <xf numFmtId="0" fontId="1" fillId="3" borderId="15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27" xfId="8" applyFont="1" applyFill="1" applyBorder="1" applyAlignment="1">
      <alignment horizontal="center" vertical="center"/>
    </xf>
    <xf numFmtId="3" fontId="11" fillId="0" borderId="28" xfId="8" applyNumberFormat="1" applyBorder="1" applyAlignment="1">
      <alignment horizontal="left" vertical="center" indent="1"/>
    </xf>
    <xf numFmtId="165" fontId="11" fillId="0" borderId="29" xfId="8" applyNumberFormat="1" applyBorder="1" applyAlignment="1">
      <alignment horizontal="left" vertical="center"/>
    </xf>
    <xf numFmtId="10" fontId="11" fillId="0" borderId="29" xfId="8" applyNumberFormat="1" applyBorder="1" applyAlignment="1">
      <alignment horizontal="left" vertical="center"/>
    </xf>
    <xf numFmtId="3" fontId="11" fillId="0" borderId="29" xfId="8" applyNumberFormat="1" applyBorder="1" applyAlignment="1">
      <alignment horizontal="right" vertical="center"/>
    </xf>
    <xf numFmtId="3" fontId="11" fillId="0" borderId="30" xfId="8" applyNumberFormat="1" applyBorder="1" applyAlignment="1">
      <alignment horizontal="right" vertical="center" indent="1"/>
    </xf>
    <xf numFmtId="0" fontId="11" fillId="0" borderId="0" xfId="8" applyAlignment="1">
      <alignment horizontal="center" vertical="center"/>
    </xf>
    <xf numFmtId="175" fontId="11" fillId="0" borderId="0" xfId="8" applyNumberFormat="1" applyAlignment="1">
      <alignment horizontal="left" vertical="center" indent="1"/>
    </xf>
    <xf numFmtId="166" fontId="2" fillId="0" borderId="0" xfId="8" applyNumberFormat="1" applyFont="1" applyAlignment="1">
      <alignment horizontal="left" vertical="center"/>
    </xf>
    <xf numFmtId="0" fontId="14" fillId="3" borderId="0" xfId="8" applyFont="1" applyFill="1" applyAlignment="1">
      <alignment horizontal="center" vertical="center"/>
    </xf>
    <xf numFmtId="37" fontId="14" fillId="3" borderId="0" xfId="8" applyNumberFormat="1" applyFont="1" applyFill="1" applyAlignment="1">
      <alignment horizontal="right" vertical="center"/>
    </xf>
    <xf numFmtId="3" fontId="11" fillId="0" borderId="31" xfId="8" applyNumberFormat="1" applyBorder="1" applyAlignment="1">
      <alignment horizontal="left" vertical="center" indent="1"/>
    </xf>
    <xf numFmtId="165" fontId="11" fillId="0" borderId="0" xfId="8" applyNumberFormat="1" applyBorder="1" applyAlignment="1">
      <alignment horizontal="left" vertical="center"/>
    </xf>
    <xf numFmtId="10" fontId="11" fillId="0" borderId="0" xfId="8" applyNumberFormat="1" applyBorder="1" applyAlignment="1">
      <alignment horizontal="left" vertical="center"/>
    </xf>
    <xf numFmtId="3" fontId="11" fillId="0" borderId="0" xfId="8" applyNumberFormat="1" applyBorder="1" applyAlignment="1">
      <alignment horizontal="right" vertical="center"/>
    </xf>
    <xf numFmtId="3" fontId="11" fillId="0" borderId="32" xfId="8" applyNumberFormat="1" applyBorder="1" applyAlignment="1">
      <alignment horizontal="right" vertical="center" indent="1"/>
    </xf>
    <xf numFmtId="3" fontId="11" fillId="0" borderId="33" xfId="8" applyNumberFormat="1" applyBorder="1" applyAlignment="1">
      <alignment horizontal="left" vertical="center" indent="1"/>
    </xf>
    <xf numFmtId="165" fontId="11" fillId="0" borderId="34" xfId="8" applyNumberFormat="1" applyBorder="1" applyAlignment="1">
      <alignment horizontal="left" vertical="center"/>
    </xf>
    <xf numFmtId="10" fontId="11" fillId="0" borderId="34" xfId="8" applyNumberFormat="1" applyBorder="1" applyAlignment="1">
      <alignment horizontal="left" vertical="center"/>
    </xf>
    <xf numFmtId="3" fontId="11" fillId="0" borderId="34" xfId="8" applyNumberFormat="1" applyBorder="1" applyAlignment="1">
      <alignment horizontal="right" vertical="center"/>
    </xf>
    <xf numFmtId="3" fontId="11" fillId="0" borderId="35" xfId="8" applyNumberFormat="1" applyBorder="1" applyAlignment="1">
      <alignment horizontal="right" vertical="center" indent="1"/>
    </xf>
    <xf numFmtId="0" fontId="11" fillId="0" borderId="0" xfId="8" applyFont="1" applyAlignment="1">
      <alignment horizontal="left" vertical="center"/>
    </xf>
    <xf numFmtId="0" fontId="11" fillId="0" borderId="0" xfId="8" quotePrefix="1" applyFont="1" applyAlignment="1">
      <alignment horizontal="left" vertical="center"/>
    </xf>
    <xf numFmtId="170" fontId="14" fillId="18" borderId="15" xfId="4" applyNumberFormat="1" applyFont="1" applyFill="1" applyBorder="1" applyAlignment="1">
      <alignment vertical="center"/>
    </xf>
    <xf numFmtId="170" fontId="14" fillId="18" borderId="16" xfId="4" applyNumberFormat="1" applyFont="1" applyFill="1" applyBorder="1" applyAlignment="1">
      <alignment vertical="center"/>
    </xf>
    <xf numFmtId="170" fontId="7" fillId="19" borderId="15" xfId="4" applyNumberFormat="1" applyFont="1" applyFill="1" applyBorder="1" applyAlignment="1">
      <alignment vertical="center"/>
    </xf>
    <xf numFmtId="0" fontId="1" fillId="3" borderId="36" xfId="8" applyFont="1" applyFill="1" applyBorder="1" applyAlignment="1">
      <alignment horizontal="center" vertical="center"/>
    </xf>
    <xf numFmtId="0" fontId="11" fillId="0" borderId="0" xfId="8" applyBorder="1" applyAlignment="1">
      <alignment horizontal="left" vertical="center"/>
    </xf>
    <xf numFmtId="0" fontId="10" fillId="0" borderId="0" xfId="8" applyFont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7" fontId="10" fillId="6" borderId="9" xfId="0" applyNumberFormat="1" applyFont="1" applyFill="1" applyBorder="1" applyAlignment="1">
      <alignment horizontal="center" vertical="center"/>
    </xf>
    <xf numFmtId="37" fontId="10" fillId="6" borderId="1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8" fontId="1" fillId="12" borderId="0" xfId="0" applyNumberFormat="1" applyFont="1" applyFill="1" applyAlignment="1">
      <alignment horizontal="left" vertical="center" indent="1"/>
    </xf>
    <xf numFmtId="0" fontId="0" fillId="7" borderId="2" xfId="0" applyFill="1" applyBorder="1" applyAlignment="1">
      <alignment horizontal="left" vertical="center" indent="1"/>
    </xf>
    <xf numFmtId="0" fontId="1" fillId="16" borderId="0" xfId="0" applyFont="1" applyFill="1" applyAlignment="1">
      <alignment horizontal="center" vertical="center"/>
    </xf>
    <xf numFmtId="0" fontId="9" fillId="0" borderId="0" xfId="5" applyFont="1" applyFill="1" applyAlignment="1">
      <alignment horizontal="center" vertical="center"/>
    </xf>
    <xf numFmtId="0" fontId="1" fillId="17" borderId="17" xfId="4" applyFont="1" applyFill="1" applyBorder="1" applyAlignment="1">
      <alignment horizontal="center" vertical="center" wrapText="1"/>
    </xf>
    <xf numFmtId="0" fontId="1" fillId="17" borderId="22" xfId="4" applyFont="1" applyFill="1" applyBorder="1" applyAlignment="1">
      <alignment horizontal="center" vertical="center" wrapText="1"/>
    </xf>
    <xf numFmtId="0" fontId="1" fillId="17" borderId="18" xfId="4" applyFont="1" applyFill="1" applyBorder="1" applyAlignment="1">
      <alignment horizontal="center" vertical="center" wrapText="1"/>
    </xf>
    <xf numFmtId="0" fontId="1" fillId="17" borderId="19" xfId="4" applyFont="1" applyFill="1" applyBorder="1" applyAlignment="1">
      <alignment horizontal="center" vertical="center"/>
    </xf>
    <xf numFmtId="0" fontId="1" fillId="17" borderId="20" xfId="4" applyFont="1" applyFill="1" applyBorder="1" applyAlignment="1">
      <alignment horizontal="center" vertical="center"/>
    </xf>
    <xf numFmtId="0" fontId="1" fillId="17" borderId="21" xfId="4" applyFont="1" applyFill="1" applyBorder="1" applyAlignment="1">
      <alignment horizontal="center" vertical="center"/>
    </xf>
    <xf numFmtId="0" fontId="1" fillId="12" borderId="15" xfId="4" applyFont="1" applyFill="1" applyBorder="1" applyAlignment="1">
      <alignment horizontal="center" vertical="center"/>
    </xf>
    <xf numFmtId="0" fontId="1" fillId="12" borderId="13" xfId="4" applyFont="1" applyFill="1" applyBorder="1" applyAlignment="1">
      <alignment horizontal="center" vertical="center"/>
    </xf>
    <xf numFmtId="0" fontId="1" fillId="8" borderId="15" xfId="4" applyFont="1" applyFill="1" applyBorder="1" applyAlignment="1">
      <alignment horizontal="center" vertical="center"/>
    </xf>
    <xf numFmtId="0" fontId="1" fillId="8" borderId="0" xfId="4" applyFont="1" applyFill="1" applyBorder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1" fillId="16" borderId="0" xfId="4" applyFont="1" applyFill="1" applyAlignment="1">
      <alignment horizontal="center" vertical="center" wrapText="1"/>
    </xf>
    <xf numFmtId="0" fontId="1" fillId="16" borderId="18" xfId="4" applyFont="1" applyFill="1" applyBorder="1" applyAlignment="1">
      <alignment horizontal="center" vertical="center" wrapText="1"/>
    </xf>
    <xf numFmtId="0" fontId="1" fillId="16" borderId="19" xfId="4" applyFont="1" applyFill="1" applyBorder="1" applyAlignment="1">
      <alignment horizontal="center" vertical="center"/>
    </xf>
    <xf numFmtId="0" fontId="1" fillId="16" borderId="20" xfId="4" applyFont="1" applyFill="1" applyBorder="1" applyAlignment="1">
      <alignment horizontal="center" vertical="center"/>
    </xf>
    <xf numFmtId="0" fontId="1" fillId="16" borderId="21" xfId="4" applyFont="1" applyFill="1" applyBorder="1" applyAlignment="1">
      <alignment horizontal="center" vertical="center"/>
    </xf>
    <xf numFmtId="0" fontId="11" fillId="0" borderId="0" xfId="8" quotePrefix="1" applyFont="1" applyAlignment="1">
      <alignment horizontal="left" vertical="center" wrapText="1"/>
    </xf>
    <xf numFmtId="0" fontId="4" fillId="22" borderId="7" xfId="8" applyFont="1" applyFill="1" applyBorder="1" applyAlignment="1">
      <alignment horizontal="center" vertical="center"/>
    </xf>
    <xf numFmtId="0" fontId="1" fillId="3" borderId="1" xfId="8" applyFont="1" applyFill="1" applyBorder="1" applyAlignment="1">
      <alignment horizontal="center" vertical="center" wrapText="1"/>
    </xf>
    <xf numFmtId="0" fontId="1" fillId="3" borderId="8" xfId="8" applyFont="1" applyFill="1" applyBorder="1" applyAlignment="1">
      <alignment horizontal="center" vertical="center" wrapText="1"/>
    </xf>
    <xf numFmtId="0" fontId="1" fillId="3" borderId="13" xfId="8" applyFont="1" applyFill="1" applyBorder="1" applyAlignment="1">
      <alignment horizontal="center" vertical="center"/>
    </xf>
    <xf numFmtId="0" fontId="1" fillId="3" borderId="1" xfId="8" applyFont="1" applyFill="1" applyBorder="1" applyAlignment="1">
      <alignment horizontal="center" vertical="center"/>
    </xf>
  </cellXfs>
  <cellStyles count="10">
    <cellStyle name="Currency 2 4" xfId="7"/>
    <cellStyle name="Normal" xfId="0" builtinId="0"/>
    <cellStyle name="Normal 2" xfId="1"/>
    <cellStyle name="Normal 2 2" xfId="4"/>
    <cellStyle name="Normal 3" xfId="3"/>
    <cellStyle name="Normal 5 2" xfId="6"/>
    <cellStyle name="Normal 6" xfId="2"/>
    <cellStyle name="Normal 6 2 2" xfId="9"/>
    <cellStyle name="Normal 6 3" xfId="5"/>
    <cellStyle name="Normal 6 4" xfId="8"/>
  </cellStyles>
  <dxfs count="13">
    <dxf>
      <font>
        <color rgb="FFFF0000"/>
      </font>
      <fill>
        <patternFill>
          <bgColor rgb="FFFF0000"/>
        </patternFill>
      </fill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66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/>
        <color rgb="FFFF0000"/>
      </font>
      <fill>
        <patternFill>
          <bgColor theme="1"/>
        </patternFill>
      </fill>
    </dxf>
    <dxf>
      <font>
        <b/>
        <i/>
        <color rgb="FFFF0000"/>
      </font>
      <fill>
        <patternFill>
          <bgColor theme="1"/>
        </patternFill>
      </fill>
    </dxf>
    <dxf>
      <font>
        <b/>
        <i/>
        <color rgb="FFFF0000"/>
      </font>
      <fill>
        <patternFill>
          <bgColor theme="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KASUS1!$B$2</c:f>
          <c:strCache>
            <c:ptCount val="1"/>
            <c:pt idx="0">
              <c:v>PENCATATAN UANG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KASUS1!$J$8:$J$11</c:f>
              <c:strCache>
                <c:ptCount val="4"/>
                <c:pt idx="0">
                  <c:v>Saldo Awal</c:v>
                </c:pt>
                <c:pt idx="1">
                  <c:v>Penambahan dana</c:v>
                </c:pt>
                <c:pt idx="2">
                  <c:v>Pengeluaran</c:v>
                </c:pt>
                <c:pt idx="3">
                  <c:v>Saldo Akhir</c:v>
                </c:pt>
              </c:strCache>
            </c:strRef>
          </c:cat>
          <c:val>
            <c:numRef>
              <c:f>KASUS1!$K$8:$K$11</c:f>
              <c:numCache>
                <c:formatCode>#,##0_);\(#,##0\)</c:formatCode>
                <c:ptCount val="4"/>
                <c:pt idx="0">
                  <c:v>3000000</c:v>
                </c:pt>
                <c:pt idx="1">
                  <c:v>125000</c:v>
                </c:pt>
                <c:pt idx="2">
                  <c:v>2400000</c:v>
                </c:pt>
                <c:pt idx="3">
                  <c:v>725000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17-43F2-B37C-641E3CBCE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107536"/>
        <c:axId val="301107144"/>
      </c:barChart>
      <c:catAx>
        <c:axId val="30110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1107144"/>
        <c:crosses val="autoZero"/>
        <c:auto val="1"/>
        <c:lblAlgn val="ctr"/>
        <c:lblOffset val="100"/>
        <c:noMultiLvlLbl val="0"/>
      </c:catAx>
      <c:valAx>
        <c:axId val="30110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30110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KASUS2!$B$2</c:f>
          <c:strCache>
            <c:ptCount val="1"/>
            <c:pt idx="0">
              <c:v>PENCATATAN KAS SEDERHANA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solidFill>
                <a:srgbClr val="00B050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KASUS2!$I$5:$I$8</c:f>
              <c:strCache>
                <c:ptCount val="4"/>
                <c:pt idx="0">
                  <c:v>Saldo Awal</c:v>
                </c:pt>
                <c:pt idx="1">
                  <c:v>Penerimaan</c:v>
                </c:pt>
                <c:pt idx="2">
                  <c:v>Pengeluaran</c:v>
                </c:pt>
                <c:pt idx="3">
                  <c:v>Saldo Akhir</c:v>
                </c:pt>
              </c:strCache>
            </c:strRef>
          </c:cat>
          <c:val>
            <c:numRef>
              <c:f>KASUS2!$J$5:$J$8</c:f>
              <c:numCache>
                <c:formatCode>#,##0_);\(#,##0\)</c:formatCode>
                <c:ptCount val="4"/>
                <c:pt idx="0">
                  <c:v>1250000</c:v>
                </c:pt>
                <c:pt idx="1">
                  <c:v>6000000</c:v>
                </c:pt>
                <c:pt idx="2">
                  <c:v>4705000</c:v>
                </c:pt>
                <c:pt idx="3">
                  <c:v>2545000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72-4E71-A215-184FBD3160C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72339968"/>
        <c:axId val="472340360"/>
      </c:barChart>
      <c:catAx>
        <c:axId val="47233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id-ID"/>
          </a:p>
        </c:txPr>
        <c:crossAx val="472340360"/>
        <c:crosses val="autoZero"/>
        <c:auto val="1"/>
        <c:lblAlgn val="ctr"/>
        <c:lblOffset val="100"/>
        <c:noMultiLvlLbl val="0"/>
      </c:catAx>
      <c:valAx>
        <c:axId val="472340360"/>
        <c:scaling>
          <c:orientation val="minMax"/>
        </c:scaling>
        <c:delete val="1"/>
        <c:axPos val="l"/>
        <c:numFmt formatCode="#,##0_);\(#,##0\)" sourceLinked="1"/>
        <c:majorTickMark val="none"/>
        <c:minorTickMark val="none"/>
        <c:tickLblPos val="nextTo"/>
        <c:crossAx val="47233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KASUS3!$B$2</c:f>
          <c:strCache>
            <c:ptCount val="1"/>
            <c:pt idx="0">
              <c:v>PENCATATAN KAS SEDERHANA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baseline="0">
              <a:ln w="0"/>
              <a:solidFill>
                <a:srgbClr val="FF0000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KASUS3!$I$5</c:f>
              <c:strCache>
                <c:ptCount val="1"/>
                <c:pt idx="0">
                  <c:v>Saldo Awal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KASUS3!$J$5</c:f>
              <c:numCache>
                <c:formatCode>#,##0_);\(#,##0\)</c:formatCode>
                <c:ptCount val="1"/>
                <c:pt idx="0">
                  <c:v>1250000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C5-445A-84D8-1AD3F14DDB5F}"/>
            </c:ext>
          </c:extLst>
        </c:ser>
        <c:ser>
          <c:idx val="1"/>
          <c:order val="1"/>
          <c:tx>
            <c:strRef>
              <c:f>KASUS3!$I$6</c:f>
              <c:strCache>
                <c:ptCount val="1"/>
                <c:pt idx="0">
                  <c:v>Penerimaan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KASUS3!$J$6</c:f>
              <c:numCache>
                <c:formatCode>#,##0_);\(#,##0\)</c:formatCode>
                <c:ptCount val="1"/>
                <c:pt idx="0">
                  <c:v>6000000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C5-445A-84D8-1AD3F14DDB5F}"/>
            </c:ext>
          </c:extLst>
        </c:ser>
        <c:ser>
          <c:idx val="2"/>
          <c:order val="2"/>
          <c:tx>
            <c:strRef>
              <c:f>KASUS3!$I$7</c:f>
              <c:strCache>
                <c:ptCount val="1"/>
                <c:pt idx="0">
                  <c:v>Pengeluaran</c:v>
                </c:pt>
              </c:strCache>
            </c:strRef>
          </c:tx>
          <c:spPr>
            <a:gradFill>
              <a:gsLst>
                <a:gs pos="0">
                  <a:schemeClr val="accent3"/>
                </a:gs>
                <a:gs pos="100000">
                  <a:schemeClr val="accent3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KASUS3!$J$7</c:f>
              <c:numCache>
                <c:formatCode>#,##0_);\(#,##0\)</c:formatCode>
                <c:ptCount val="1"/>
                <c:pt idx="0">
                  <c:v>4705000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7C5-445A-84D8-1AD3F14DDB5F}"/>
            </c:ext>
          </c:extLst>
        </c:ser>
        <c:ser>
          <c:idx val="3"/>
          <c:order val="3"/>
          <c:tx>
            <c:strRef>
              <c:f>KASUS3!$I$8</c:f>
              <c:strCache>
                <c:ptCount val="1"/>
                <c:pt idx="0">
                  <c:v>Saldo Akhir</c:v>
                </c:pt>
              </c:strCache>
            </c:strRef>
          </c:tx>
          <c:spPr>
            <a:gradFill>
              <a:gsLst>
                <a:gs pos="0">
                  <a:schemeClr val="accent4"/>
                </a:gs>
                <a:gs pos="100000">
                  <a:schemeClr val="accent4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KASUS3!$J$8</c:f>
              <c:numCache>
                <c:formatCode>#,##0_);\(#,##0\)</c:formatCode>
                <c:ptCount val="1"/>
                <c:pt idx="0">
                  <c:v>2545000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7C5-445A-84D8-1AD3F14DDB5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07648344"/>
        <c:axId val="580772112"/>
      </c:barChart>
      <c:catAx>
        <c:axId val="5076483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80772112"/>
        <c:crosses val="autoZero"/>
        <c:auto val="1"/>
        <c:lblAlgn val="ctr"/>
        <c:lblOffset val="100"/>
        <c:noMultiLvlLbl val="0"/>
      </c:catAx>
      <c:valAx>
        <c:axId val="580772112"/>
        <c:scaling>
          <c:orientation val="minMax"/>
        </c:scaling>
        <c:delete val="1"/>
        <c:axPos val="l"/>
        <c:numFmt formatCode="#,##0_);\(#,##0\)" sourceLinked="1"/>
        <c:majorTickMark val="none"/>
        <c:minorTickMark val="none"/>
        <c:tickLblPos val="nextTo"/>
        <c:crossAx val="507648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KASUS4!$B$2</c:f>
          <c:strCache>
            <c:ptCount val="1"/>
            <c:pt idx="0">
              <c:v>KAS dan BANK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FF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KASUS4!$K$4</c:f>
              <c:strCache>
                <c:ptCount val="1"/>
                <c:pt idx="0">
                  <c:v>Saldo awal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KASUS4!$J$5:$J$7</c:f>
              <c:strCache>
                <c:ptCount val="3"/>
                <c:pt idx="0">
                  <c:v>Kas</c:v>
                </c:pt>
                <c:pt idx="1">
                  <c:v>BCA</c:v>
                </c:pt>
                <c:pt idx="2">
                  <c:v>BNI</c:v>
                </c:pt>
              </c:strCache>
            </c:strRef>
          </c:cat>
          <c:val>
            <c:numRef>
              <c:f>KASUS4!$K$5:$K$7</c:f>
              <c:numCache>
                <c:formatCode>#,##0_);\(#,##0\)</c:formatCode>
                <c:ptCount val="3"/>
                <c:pt idx="0">
                  <c:v>250000</c:v>
                </c:pt>
                <c:pt idx="1">
                  <c:v>7500000</c:v>
                </c:pt>
                <c:pt idx="2">
                  <c:v>12500000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F1-4A66-B518-EA36CA389102}"/>
            </c:ext>
          </c:extLst>
        </c:ser>
        <c:ser>
          <c:idx val="1"/>
          <c:order val="1"/>
          <c:tx>
            <c:strRef>
              <c:f>KASUS4!$N$4</c:f>
              <c:strCache>
                <c:ptCount val="1"/>
                <c:pt idx="0">
                  <c:v>Saldo akhir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KASUS4!$J$5:$J$7</c:f>
              <c:strCache>
                <c:ptCount val="3"/>
                <c:pt idx="0">
                  <c:v>Kas</c:v>
                </c:pt>
                <c:pt idx="1">
                  <c:v>BCA</c:v>
                </c:pt>
                <c:pt idx="2">
                  <c:v>BNI</c:v>
                </c:pt>
              </c:strCache>
            </c:strRef>
          </c:cat>
          <c:val>
            <c:numRef>
              <c:f>KASUS4!$N$5:$N$7</c:f>
              <c:numCache>
                <c:formatCode>#,##0_);\(#,##0\)</c:formatCode>
                <c:ptCount val="3"/>
                <c:pt idx="0">
                  <c:v>450000</c:v>
                </c:pt>
                <c:pt idx="1">
                  <c:v>15497500</c:v>
                </c:pt>
                <c:pt idx="2">
                  <c:v>17250000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F1-4A66-B518-EA36CA389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80772896"/>
        <c:axId val="580773288"/>
      </c:barChart>
      <c:catAx>
        <c:axId val="5807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0773288"/>
        <c:crosses val="autoZero"/>
        <c:auto val="1"/>
        <c:lblAlgn val="ctr"/>
        <c:lblOffset val="100"/>
        <c:noMultiLvlLbl val="0"/>
      </c:catAx>
      <c:valAx>
        <c:axId val="58077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07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KASUS5!$B$2</c:f>
          <c:strCache>
            <c:ptCount val="1"/>
            <c:pt idx="0">
              <c:v>CATATAN KAS dan BANK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FFFF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KASUS5!$K$4</c:f>
              <c:strCache>
                <c:ptCount val="1"/>
                <c:pt idx="0">
                  <c:v>Saldo awal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KASUS5!$J$5:$J$7</c:f>
              <c:strCache>
                <c:ptCount val="3"/>
                <c:pt idx="0">
                  <c:v>Kas</c:v>
                </c:pt>
                <c:pt idx="1">
                  <c:v>BCA</c:v>
                </c:pt>
                <c:pt idx="2">
                  <c:v>BNI</c:v>
                </c:pt>
              </c:strCache>
            </c:strRef>
          </c:cat>
          <c:val>
            <c:numRef>
              <c:f>KASUS5!$K$5:$K$7</c:f>
              <c:numCache>
                <c:formatCode>#,##0_);\(#,##0\)</c:formatCode>
                <c:ptCount val="3"/>
                <c:pt idx="0">
                  <c:v>250000</c:v>
                </c:pt>
                <c:pt idx="1">
                  <c:v>7500000</c:v>
                </c:pt>
                <c:pt idx="2">
                  <c:v>12500000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B2-4EB1-9CBF-6D432C00DC3A}"/>
            </c:ext>
          </c:extLst>
        </c:ser>
        <c:ser>
          <c:idx val="1"/>
          <c:order val="1"/>
          <c:tx>
            <c:strRef>
              <c:f>KASUS5!$N$4</c:f>
              <c:strCache>
                <c:ptCount val="1"/>
                <c:pt idx="0">
                  <c:v>Saldo akhir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KASUS5!$J$5:$J$7</c:f>
              <c:strCache>
                <c:ptCount val="3"/>
                <c:pt idx="0">
                  <c:v>Kas</c:v>
                </c:pt>
                <c:pt idx="1">
                  <c:v>BCA</c:v>
                </c:pt>
                <c:pt idx="2">
                  <c:v>BNI</c:v>
                </c:pt>
              </c:strCache>
            </c:strRef>
          </c:cat>
          <c:val>
            <c:numRef>
              <c:f>KASUS5!$N$5:$N$7</c:f>
              <c:numCache>
                <c:formatCode>#,##0_);\(#,##0\)</c:formatCode>
                <c:ptCount val="3"/>
                <c:pt idx="0">
                  <c:v>500000</c:v>
                </c:pt>
                <c:pt idx="1">
                  <c:v>5475000</c:v>
                </c:pt>
                <c:pt idx="2">
                  <c:v>14205000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B2-4EB1-9CBF-6D432C00DC3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580774072"/>
        <c:axId val="580774464"/>
      </c:barChart>
      <c:catAx>
        <c:axId val="58077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0774464"/>
        <c:crosses val="autoZero"/>
        <c:auto val="1"/>
        <c:lblAlgn val="ctr"/>
        <c:lblOffset val="100"/>
        <c:noMultiLvlLbl val="0"/>
      </c:catAx>
      <c:valAx>
        <c:axId val="58077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077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KASUS5!$J$26</c:f>
          <c:strCache>
            <c:ptCount val="1"/>
            <c:pt idx="0">
              <c:v>UANG MASUK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00B050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54-49FC-91E1-9D1E776F77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54-49FC-91E1-9D1E776F77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054-49FC-91E1-9D1E776F77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054-49FC-91E1-9D1E776F77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054-49FC-91E1-9D1E776F779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054-49FC-91E1-9D1E776F7798}"/>
              </c:ext>
            </c:extLst>
          </c:dPt>
          <c:cat>
            <c:strRef>
              <c:f>KASUS5!$J$27:$J$32</c:f>
              <c:strCache>
                <c:ptCount val="6"/>
                <c:pt idx="0">
                  <c:v>menerima gaji</c:v>
                </c:pt>
                <c:pt idx="1">
                  <c:v>menerima honor</c:v>
                </c:pt>
                <c:pt idx="2">
                  <c:v>mendapat arisan</c:v>
                </c:pt>
                <c:pt idx="3">
                  <c:v>pendapatan lain</c:v>
                </c:pt>
                <c:pt idx="4">
                  <c:v>menerima uang dari tarik ATM</c:v>
                </c:pt>
                <c:pt idx="5">
                  <c:v>menerima transfer</c:v>
                </c:pt>
              </c:strCache>
            </c:strRef>
          </c:cat>
          <c:val>
            <c:numRef>
              <c:f>KASUS5!$M$27:$M$32</c:f>
              <c:numCache>
                <c:formatCode>#,##0_);\(#,##0\)</c:formatCode>
                <c:ptCount val="6"/>
                <c:pt idx="0">
                  <c:v>10000000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750000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054-49FC-91E1-9D1E776F7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KASUS5!$J$35</c:f>
          <c:strCache>
            <c:ptCount val="1"/>
            <c:pt idx="0">
              <c:v>UANG KELUAR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rgbClr val="FF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KASUS5!$J$36:$J$48</c:f>
              <c:strCache>
                <c:ptCount val="13"/>
                <c:pt idx="0">
                  <c:v>menarik uang melalui ATM</c:v>
                </c:pt>
                <c:pt idx="1">
                  <c:v>transfer uang</c:v>
                </c:pt>
                <c:pt idx="2">
                  <c:v>belanja bulanan</c:v>
                </c:pt>
                <c:pt idx="3">
                  <c:v>biaya sekolah/kuliah</c:v>
                </c:pt>
                <c:pt idx="4">
                  <c:v>pulsa telepon/internet</c:v>
                </c:pt>
                <c:pt idx="5">
                  <c:v>biaya/pulsa listrik</c:v>
                </c:pt>
                <c:pt idx="6">
                  <c:v>membayar arisan</c:v>
                </c:pt>
                <c:pt idx="7">
                  <c:v>membayar iuran bulanan</c:v>
                </c:pt>
                <c:pt idx="8">
                  <c:v>kondangan</c:v>
                </c:pt>
                <c:pt idx="9">
                  <c:v>sumbangan</c:v>
                </c:pt>
                <c:pt idx="10">
                  <c:v>perbaikan aset</c:v>
                </c:pt>
                <c:pt idx="11">
                  <c:v>top up kartu (tol, krl dsb)</c:v>
                </c:pt>
                <c:pt idx="12">
                  <c:v>lain-lain</c:v>
                </c:pt>
              </c:strCache>
            </c:strRef>
          </c:cat>
          <c:val>
            <c:numRef>
              <c:f>KASUS5!$M$36:$M$48</c:f>
              <c:numCache>
                <c:formatCode>#,##0_);\(#,##0\)</c:formatCode>
                <c:ptCount val="13"/>
                <c:pt idx="0">
                  <c:v>750000</c:v>
                </c:pt>
                <c:pt idx="1">
                  <c:v>0</c:v>
                </c:pt>
                <c:pt idx="2">
                  <c:v>795000</c:v>
                </c:pt>
                <c:pt idx="3">
                  <c:v>7500000</c:v>
                </c:pt>
                <c:pt idx="4">
                  <c:v>0</c:v>
                </c:pt>
                <c:pt idx="5">
                  <c:v>1025000</c:v>
                </c:pt>
                <c:pt idx="6">
                  <c:v>150000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250000</c:v>
                </c:pt>
                <c:pt idx="12">
                  <c:v>350000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35-48FD-9C3F-D4C1E6DEE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580775640"/>
        <c:axId val="50912440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KASUS5!$J$36:$J$48</c15:sqref>
                        </c15:formulaRef>
                      </c:ext>
                    </c:extLst>
                    <c:strCache>
                      <c:ptCount val="13"/>
                      <c:pt idx="0">
                        <c:v>menarik uang melalui ATM</c:v>
                      </c:pt>
                      <c:pt idx="1">
                        <c:v>transfer uang</c:v>
                      </c:pt>
                      <c:pt idx="2">
                        <c:v>belanja bulanan</c:v>
                      </c:pt>
                      <c:pt idx="3">
                        <c:v>biaya sekolah/kuliah</c:v>
                      </c:pt>
                      <c:pt idx="4">
                        <c:v>pulsa telepon/internet</c:v>
                      </c:pt>
                      <c:pt idx="5">
                        <c:v>biaya/pulsa listrik</c:v>
                      </c:pt>
                      <c:pt idx="6">
                        <c:v>membayar arisan</c:v>
                      </c:pt>
                      <c:pt idx="7">
                        <c:v>membayar iuran bulanan</c:v>
                      </c:pt>
                      <c:pt idx="8">
                        <c:v>kondangan</c:v>
                      </c:pt>
                      <c:pt idx="9">
                        <c:v>sumbangan</c:v>
                      </c:pt>
                      <c:pt idx="10">
                        <c:v>perbaikan aset</c:v>
                      </c:pt>
                      <c:pt idx="11">
                        <c:v>top up kartu (tol, krl dsb)</c:v>
                      </c:pt>
                      <c:pt idx="12">
                        <c:v>lain-lain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KASUS5!$K$36:$K$48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EB35-48FD-9C3F-D4C1E6DEE95A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KASUS5!$J$36:$J$48</c15:sqref>
                        </c15:formulaRef>
                      </c:ext>
                    </c:extLst>
                    <c:strCache>
                      <c:ptCount val="13"/>
                      <c:pt idx="0">
                        <c:v>menarik uang melalui ATM</c:v>
                      </c:pt>
                      <c:pt idx="1">
                        <c:v>transfer uang</c:v>
                      </c:pt>
                      <c:pt idx="2">
                        <c:v>belanja bulanan</c:v>
                      </c:pt>
                      <c:pt idx="3">
                        <c:v>biaya sekolah/kuliah</c:v>
                      </c:pt>
                      <c:pt idx="4">
                        <c:v>pulsa telepon/internet</c:v>
                      </c:pt>
                      <c:pt idx="5">
                        <c:v>biaya/pulsa listrik</c:v>
                      </c:pt>
                      <c:pt idx="6">
                        <c:v>membayar arisan</c:v>
                      </c:pt>
                      <c:pt idx="7">
                        <c:v>membayar iuran bulanan</c:v>
                      </c:pt>
                      <c:pt idx="8">
                        <c:v>kondangan</c:v>
                      </c:pt>
                      <c:pt idx="9">
                        <c:v>sumbangan</c:v>
                      </c:pt>
                      <c:pt idx="10">
                        <c:v>perbaikan aset</c:v>
                      </c:pt>
                      <c:pt idx="11">
                        <c:v>top up kartu (tol, krl dsb)</c:v>
                      </c:pt>
                      <c:pt idx="12">
                        <c:v>lain-lain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KASUS5!$L$36:$L$48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2-EB35-48FD-9C3F-D4C1E6DEE95A}"/>
                  </c:ext>
                </c:extLst>
              </c15:ser>
            </c15:filteredBarSeries>
          </c:ext>
        </c:extLst>
      </c:barChart>
      <c:catAx>
        <c:axId val="580775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09124400"/>
        <c:crosses val="autoZero"/>
        <c:auto val="1"/>
        <c:lblAlgn val="ctr"/>
        <c:lblOffset val="100"/>
        <c:noMultiLvlLbl val="0"/>
      </c:catAx>
      <c:valAx>
        <c:axId val="50912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8077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Scroll" dx="22" fmlaLink="$A$3" horiz="1" inc="25" max="500" min="200" page="10" val="400"/>
</file>

<file path=xl/ctrlProps/ctrlProp10.xml><?xml version="1.0" encoding="utf-8"?>
<formControlPr xmlns="http://schemas.microsoft.com/office/spreadsheetml/2009/9/main" objectType="Scroll" dx="22" fmlaLink="$D$7" horiz="1" max="10" min="3" page="10" val="5"/>
</file>

<file path=xl/ctrlProps/ctrlProp11.xml><?xml version="1.0" encoding="utf-8"?>
<formControlPr xmlns="http://schemas.microsoft.com/office/spreadsheetml/2009/9/main" objectType="Scroll" dx="22" fmlaLink="$E$6" horiz="1" inc="25" max="100" page="10" val="0"/>
</file>

<file path=xl/ctrlProps/ctrlProp12.xml><?xml version="1.0" encoding="utf-8"?>
<formControlPr xmlns="http://schemas.microsoft.com/office/spreadsheetml/2009/9/main" objectType="Scroll" dx="22" fmlaLink="$E$7" horiz="1" inc="50" max="2500" page="10" val="1300"/>
</file>

<file path=xl/ctrlProps/ctrlProp13.xml><?xml version="1.0" encoding="utf-8"?>
<formControlPr xmlns="http://schemas.microsoft.com/office/spreadsheetml/2009/9/main" objectType="Scroll" dx="22" fmlaLink="$A$4" horiz="1" inc="25" max="500" min="200" page="10" val="400"/>
</file>

<file path=xl/ctrlProps/ctrlProp14.xml><?xml version="1.0" encoding="utf-8"?>
<formControlPr xmlns="http://schemas.microsoft.com/office/spreadsheetml/2009/9/main" objectType="Scroll" dx="22" fmlaLink="$A$5" horiz="1" inc="5" max="300" min="50" page="10" val="100"/>
</file>

<file path=xl/ctrlProps/ctrlProp15.xml><?xml version="1.0" encoding="utf-8"?>
<formControlPr xmlns="http://schemas.microsoft.com/office/spreadsheetml/2009/9/main" objectType="Scroll" dx="22" fmlaLink="$A$7" horiz="1" inc="25" max="1000" min="500" page="10" val="950"/>
</file>

<file path=xl/ctrlProps/ctrlProp16.xml><?xml version="1.0" encoding="utf-8"?>
<formControlPr xmlns="http://schemas.microsoft.com/office/spreadsheetml/2009/9/main" objectType="Scroll" dx="22" fmlaLink="$D$8" horiz="1" max="10" min="3" page="10" val="5"/>
</file>

<file path=xl/ctrlProps/ctrlProp17.xml><?xml version="1.0" encoding="utf-8"?>
<formControlPr xmlns="http://schemas.microsoft.com/office/spreadsheetml/2009/9/main" objectType="Scroll" dx="22" fmlaLink="$E$7" horiz="1" inc="25" max="100" page="10" val="0"/>
</file>

<file path=xl/ctrlProps/ctrlProp18.xml><?xml version="1.0" encoding="utf-8"?>
<formControlPr xmlns="http://schemas.microsoft.com/office/spreadsheetml/2009/9/main" objectType="Scroll" dx="22" fmlaLink="$E$8" horiz="1" inc="50" max="2500" page="10" val="1300"/>
</file>

<file path=xl/ctrlProps/ctrlProp19.xml><?xml version="1.0" encoding="utf-8"?>
<formControlPr xmlns="http://schemas.microsoft.com/office/spreadsheetml/2009/9/main" objectType="Radio" firstButton="1" fmlaLink="$A$3" lockText="1"/>
</file>

<file path=xl/ctrlProps/ctrlProp2.xml><?xml version="1.0" encoding="utf-8"?>
<formControlPr xmlns="http://schemas.microsoft.com/office/spreadsheetml/2009/9/main" objectType="Scroll" dx="22" fmlaLink="$A$4" horiz="1" inc="5" max="300" min="50" page="10" val="100"/>
</file>

<file path=xl/ctrlProps/ctrlProp20.xml><?xml version="1.0" encoding="utf-8"?>
<formControlPr xmlns="http://schemas.microsoft.com/office/spreadsheetml/2009/9/main" objectType="Radio" checked="Checked" lockText="1"/>
</file>

<file path=xl/ctrlProps/ctrlProp21.xml><?xml version="1.0" encoding="utf-8"?>
<formControlPr xmlns="http://schemas.microsoft.com/office/spreadsheetml/2009/9/main" objectType="Scroll" dx="16" fmlaLink="$A$3" horiz="1" inc="25" max="1500" min="150" page="10" val="1000"/>
</file>

<file path=xl/ctrlProps/ctrlProp22.xml><?xml version="1.0" encoding="utf-8"?>
<formControlPr xmlns="http://schemas.microsoft.com/office/spreadsheetml/2009/9/main" objectType="Scroll" dx="16" fmlaLink="$C$4" horiz="1" inc="6" max="60" min="12" page="10" val="60"/>
</file>

<file path=xl/ctrlProps/ctrlProp23.xml><?xml version="1.0" encoding="utf-8"?>
<formControlPr xmlns="http://schemas.microsoft.com/office/spreadsheetml/2009/9/main" objectType="Scroll" dx="16" fmlaLink="$A$5" horiz="1" inc="25" max="1250" min="600" page="10" val="600"/>
</file>

<file path=xl/ctrlProps/ctrlProp24.xml><?xml version="1.0" encoding="utf-8"?>
<formControlPr xmlns="http://schemas.microsoft.com/office/spreadsheetml/2009/9/main" objectType="Scroll" dx="16" fmlaLink="$A$7" horiz="1" inc="5" max="60" min="25" page="10" val="40"/>
</file>

<file path=xl/ctrlProps/ctrlProp25.xml><?xml version="1.0" encoding="utf-8"?>
<formControlPr xmlns="http://schemas.microsoft.com/office/spreadsheetml/2009/9/main" objectType="Scroll" dx="16" fmlaLink="$J$4" horiz="1" inc="5" max="750" min="75" page="10" val="100"/>
</file>

<file path=xl/ctrlProps/ctrlProp26.xml><?xml version="1.0" encoding="utf-8"?>
<formControlPr xmlns="http://schemas.microsoft.com/office/spreadsheetml/2009/9/main" objectType="Scroll" dx="16" fmlaLink="$J$5" horiz="1" inc="5" max="25" min="5" page="10" val="5"/>
</file>

<file path=xl/ctrlProps/ctrlProp27.xml><?xml version="1.0" encoding="utf-8"?>
<formControlPr xmlns="http://schemas.microsoft.com/office/spreadsheetml/2009/9/main" objectType="Scroll" dx="16" fmlaLink="$J$6" horiz="1" inc="25" max="2000" min="800" page="10" val="950"/>
</file>

<file path=xl/ctrlProps/ctrlProp28.xml><?xml version="1.0" encoding="utf-8"?>
<formControlPr xmlns="http://schemas.microsoft.com/office/spreadsheetml/2009/9/main" objectType="Radio" firstButton="1" fmlaLink="$H$10" lockText="1"/>
</file>

<file path=xl/ctrlProps/ctrlProp29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Scroll" dx="22" fmlaLink="$A$6" horiz="1" inc="25" max="1000" min="500" page="10" val="650"/>
</file>

<file path=xl/ctrlProps/ctrlProp30.xml><?xml version="1.0" encoding="utf-8"?>
<formControlPr xmlns="http://schemas.microsoft.com/office/spreadsheetml/2009/9/main" objectType="Scroll" dx="16" fmlaLink="$H$8" horiz="1" inc="5" max="600" min="250" page="10" val="250"/>
</file>

<file path=xl/ctrlProps/ctrlProp31.xml><?xml version="1.0" encoding="utf-8"?>
<formControlPr xmlns="http://schemas.microsoft.com/office/spreadsheetml/2009/9/main" objectType="Scroll" dx="16" fmlaLink="$D$12" horiz="1" inc="25" max="1500" min="700" page="10" val="700"/>
</file>

<file path=xl/ctrlProps/ctrlProp32.xml><?xml version="1.0" encoding="utf-8"?>
<formControlPr xmlns="http://schemas.microsoft.com/office/spreadsheetml/2009/9/main" objectType="Scroll" dx="16" fmlaLink="$F$12" horiz="1" inc="25" max="2000" min="850" page="10" val="1025"/>
</file>

<file path=xl/ctrlProps/ctrlProp33.xml><?xml version="1.0" encoding="utf-8"?>
<formControlPr xmlns="http://schemas.microsoft.com/office/spreadsheetml/2009/9/main" objectType="Scroll" dx="16" fmlaLink="$F$6" horiz="1" inc="250" max="15000" min="2000" page="10" val="2500"/>
</file>

<file path=xl/ctrlProps/ctrlProp34.xml><?xml version="1.0" encoding="utf-8"?>
<formControlPr xmlns="http://schemas.microsoft.com/office/spreadsheetml/2009/9/main" objectType="Scroll" dx="16" fmlaLink="$F$7" horiz="1" inc="25" max="750" min="250" page="10" val="250"/>
</file>

<file path=xl/ctrlProps/ctrlProp35.xml><?xml version="1.0" encoding="utf-8"?>
<formControlPr xmlns="http://schemas.microsoft.com/office/spreadsheetml/2009/9/main" objectType="Scroll" dx="16" fmlaLink="$F$4" horiz="1" inc="25" max="8000" min="2000" page="10" val="4000"/>
</file>

<file path=xl/ctrlProps/ctrlProp36.xml><?xml version="1.0" encoding="utf-8"?>
<formControlPr xmlns="http://schemas.microsoft.com/office/spreadsheetml/2009/9/main" objectType="Scroll" dx="16" fmlaLink="$F$3" horiz="1" inc="25" max="3000" min="600" page="10" val="1000"/>
</file>

<file path=xl/ctrlProps/ctrlProp37.xml><?xml version="1.0" encoding="utf-8"?>
<formControlPr xmlns="http://schemas.microsoft.com/office/spreadsheetml/2009/9/main" objectType="Scroll" dx="16" fmlaLink="$E$12" horiz="1" max="30" min="1" page="10" val="15"/>
</file>

<file path=xl/ctrlProps/ctrlProp38.xml><?xml version="1.0" encoding="utf-8"?>
<formControlPr xmlns="http://schemas.microsoft.com/office/spreadsheetml/2009/9/main" objectType="Scroll" dx="15" fmlaLink="$H$4" horiz="1" inc="6" max="60" min="12" page="10" val="60"/>
</file>

<file path=xl/ctrlProps/ctrlProp39.xml><?xml version="1.0" encoding="utf-8"?>
<formControlPr xmlns="http://schemas.microsoft.com/office/spreadsheetml/2009/9/main" objectType="Scroll" dx="15" fmlaLink="$I$5" horiz="1" inc="25" max="2500" min="200" page="10" val="500"/>
</file>

<file path=xl/ctrlProps/ctrlProp4.xml><?xml version="1.0" encoding="utf-8"?>
<formControlPr xmlns="http://schemas.microsoft.com/office/spreadsheetml/2009/9/main" objectType="Scroll" dx="22" fmlaLink="$D$7" horiz="1" max="10" min="3" page="10" val="5"/>
</file>

<file path=xl/ctrlProps/ctrlProp40.xml><?xml version="1.0" encoding="utf-8"?>
<formControlPr xmlns="http://schemas.microsoft.com/office/spreadsheetml/2009/9/main" objectType="Scroll" dx="15" fmlaLink="$I$9" horiz="1" max="240" min="1" page="10"/>
</file>

<file path=xl/ctrlProps/ctrlProp41.xml><?xml version="1.0" encoding="utf-8"?>
<formControlPr xmlns="http://schemas.microsoft.com/office/spreadsheetml/2009/9/main" objectType="Scroll" dx="15" fmlaLink="$H$7" horiz="1" max="25" min="2" page="10" val="20"/>
</file>

<file path=xl/ctrlProps/ctrlProp42.xml><?xml version="1.0" encoding="utf-8"?>
<formControlPr xmlns="http://schemas.microsoft.com/office/spreadsheetml/2009/9/main" objectType="Scroll" dx="15" fmlaLink="$B$5" horiz="1" inc="25" max="2000" min="1000" page="10" val="1200"/>
</file>

<file path=xl/ctrlProps/ctrlProp43.xml><?xml version="1.0" encoding="utf-8"?>
<formControlPr xmlns="http://schemas.microsoft.com/office/spreadsheetml/2009/9/main" objectType="Scroll" dx="15" fmlaLink="$B$6" horiz="1" inc="25" max="2000" min="1000" page="10" val="1350"/>
</file>

<file path=xl/ctrlProps/ctrlProp44.xml><?xml version="1.0" encoding="utf-8"?>
<formControlPr xmlns="http://schemas.microsoft.com/office/spreadsheetml/2009/9/main" objectType="Scroll" dx="15" fmlaLink="$B$7" horiz="1" inc="25" max="2000" min="1000" page="10" val="1475"/>
</file>

<file path=xl/ctrlProps/ctrlProp45.xml><?xml version="1.0" encoding="utf-8"?>
<formControlPr xmlns="http://schemas.microsoft.com/office/spreadsheetml/2009/9/main" objectType="Scroll" dx="15" fmlaLink="$B$8" horiz="1" inc="25" max="2000" min="1000" page="10" val="1300"/>
</file>

<file path=xl/ctrlProps/ctrlProp46.xml><?xml version="1.0" encoding="utf-8"?>
<formControlPr xmlns="http://schemas.microsoft.com/office/spreadsheetml/2009/9/main" objectType="Scroll" dx="15" fmlaLink="$B$9" horiz="1" inc="25" max="2000" min="1000" page="10" val="1175"/>
</file>

<file path=xl/ctrlProps/ctrlProp47.xml><?xml version="1.0" encoding="utf-8"?>
<formControlPr xmlns="http://schemas.microsoft.com/office/spreadsheetml/2009/9/main" objectType="Radio" firstButton="1" fmlaLink="$A$3" lockText="1"/>
</file>

<file path=xl/ctrlProps/ctrlProp48.xml><?xml version="1.0" encoding="utf-8"?>
<formControlPr xmlns="http://schemas.microsoft.com/office/spreadsheetml/2009/9/main" objectType="Radio" checked="Checked" lockText="1"/>
</file>

<file path=xl/ctrlProps/ctrlProp5.xml><?xml version="1.0" encoding="utf-8"?>
<formControlPr xmlns="http://schemas.microsoft.com/office/spreadsheetml/2009/9/main" objectType="Scroll" dx="22" fmlaLink="$E$6" horiz="1" inc="25" max="100" page="10" val="0"/>
</file>

<file path=xl/ctrlProps/ctrlProp6.xml><?xml version="1.0" encoding="utf-8"?>
<formControlPr xmlns="http://schemas.microsoft.com/office/spreadsheetml/2009/9/main" objectType="Scroll" dx="22" fmlaLink="$E$7" horiz="1" inc="50" max="2500" page="10" val="1300"/>
</file>

<file path=xl/ctrlProps/ctrlProp7.xml><?xml version="1.0" encoding="utf-8"?>
<formControlPr xmlns="http://schemas.microsoft.com/office/spreadsheetml/2009/9/main" objectType="Scroll" dx="22" fmlaLink="$A$3" horiz="1" inc="25" max="500" min="200" page="10" val="400"/>
</file>

<file path=xl/ctrlProps/ctrlProp8.xml><?xml version="1.0" encoding="utf-8"?>
<formControlPr xmlns="http://schemas.microsoft.com/office/spreadsheetml/2009/9/main" objectType="Scroll" dx="22" fmlaLink="$A$4" horiz="1" inc="5" max="300" min="50" page="10" val="100"/>
</file>

<file path=xl/ctrlProps/ctrlProp9.xml><?xml version="1.0" encoding="utf-8"?>
<formControlPr xmlns="http://schemas.microsoft.com/office/spreadsheetml/2009/9/main" objectType="Scroll" dx="22" fmlaLink="$A$6" horiz="1" inc="25" max="1000" min="500" page="10" val="97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10</xdr:row>
      <xdr:rowOff>33337</xdr:rowOff>
    </xdr:from>
    <xdr:to>
      <xdr:col>7</xdr:col>
      <xdr:colOff>247650</xdr:colOff>
      <xdr:row>24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1809750</xdr:colOff>
          <xdr:row>6</xdr:row>
          <xdr:rowOff>28575</xdr:rowOff>
        </xdr:from>
        <xdr:to>
          <xdr:col>1</xdr:col>
          <xdr:colOff>2295525</xdr:colOff>
          <xdr:row>6</xdr:row>
          <xdr:rowOff>190500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84216EC1-2D8C-49C6-955A-4D167B23C0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3</xdr:row>
          <xdr:rowOff>38100</xdr:rowOff>
        </xdr:from>
        <xdr:to>
          <xdr:col>7</xdr:col>
          <xdr:colOff>571500</xdr:colOff>
          <xdr:row>3</xdr:row>
          <xdr:rowOff>200025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="" xmlns:a16="http://schemas.microsoft.com/office/drawing/2014/main" id="{50076A9A-997F-4F9D-A0BE-5D357D6233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28575</xdr:rowOff>
        </xdr:from>
        <xdr:to>
          <xdr:col>7</xdr:col>
          <xdr:colOff>571500</xdr:colOff>
          <xdr:row>4</xdr:row>
          <xdr:rowOff>190500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="" xmlns:a16="http://schemas.microsoft.com/office/drawing/2014/main" id="{D50FCC6D-D5A7-4B1A-8A33-04F98A2B55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5</xdr:row>
          <xdr:rowOff>19050</xdr:rowOff>
        </xdr:from>
        <xdr:to>
          <xdr:col>7</xdr:col>
          <xdr:colOff>571500</xdr:colOff>
          <xdr:row>5</xdr:row>
          <xdr:rowOff>180975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="" xmlns:a16="http://schemas.microsoft.com/office/drawing/2014/main" id="{F66BF091-6043-4A24-AA74-FC705F991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8</xdr:row>
          <xdr:rowOff>200025</xdr:rowOff>
        </xdr:from>
        <xdr:to>
          <xdr:col>3</xdr:col>
          <xdr:colOff>876300</xdr:colOff>
          <xdr:row>10</xdr:row>
          <xdr:rowOff>9525</xdr:rowOff>
        </xdr:to>
        <xdr:sp macro="" textlink="">
          <xdr:nvSpPr>
            <xdr:cNvPr id="17409" name="Option Button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="" xmlns:a16="http://schemas.microsoft.com/office/drawing/2014/main" id="{9FA6A3B1-0965-478F-AE60-D088E89EAB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504825</xdr:colOff>
          <xdr:row>8</xdr:row>
          <xdr:rowOff>200025</xdr:rowOff>
        </xdr:from>
        <xdr:to>
          <xdr:col>5</xdr:col>
          <xdr:colOff>809625</xdr:colOff>
          <xdr:row>10</xdr:row>
          <xdr:rowOff>9525</xdr:rowOff>
        </xdr:to>
        <xdr:sp macro="" textlink="">
          <xdr:nvSpPr>
            <xdr:cNvPr id="17410" name="Option Button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="" xmlns:a16="http://schemas.microsoft.com/office/drawing/2014/main" id="{437C99B1-A0E1-4FA1-A074-56433056EC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7</xdr:row>
          <xdr:rowOff>28575</xdr:rowOff>
        </xdr:from>
        <xdr:to>
          <xdr:col>3</xdr:col>
          <xdr:colOff>828675</xdr:colOff>
          <xdr:row>7</xdr:row>
          <xdr:rowOff>190500</xdr:rowOff>
        </xdr:to>
        <xdr:sp macro="" textlink="">
          <xdr:nvSpPr>
            <xdr:cNvPr id="17411" name="Scroll Bar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="" xmlns:a16="http://schemas.microsoft.com/office/drawing/2014/main" id="{5FB649FE-7D77-423A-843A-48B2F96384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10</xdr:row>
          <xdr:rowOff>19050</xdr:rowOff>
        </xdr:from>
        <xdr:to>
          <xdr:col>3</xdr:col>
          <xdr:colOff>571500</xdr:colOff>
          <xdr:row>10</xdr:row>
          <xdr:rowOff>180975</xdr:rowOff>
        </xdr:to>
        <xdr:sp macro="" textlink="">
          <xdr:nvSpPr>
            <xdr:cNvPr id="17412" name="Scroll Bar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="" xmlns:a16="http://schemas.microsoft.com/office/drawing/2014/main" id="{47E20B79-9836-46FB-A07B-66E93E40BB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10</xdr:row>
          <xdr:rowOff>19050</xdr:rowOff>
        </xdr:from>
        <xdr:to>
          <xdr:col>5</xdr:col>
          <xdr:colOff>571500</xdr:colOff>
          <xdr:row>10</xdr:row>
          <xdr:rowOff>180975</xdr:rowOff>
        </xdr:to>
        <xdr:sp macro="" textlink="">
          <xdr:nvSpPr>
            <xdr:cNvPr id="17413" name="Scroll Bar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="" xmlns:a16="http://schemas.microsoft.com/office/drawing/2014/main" id="{91741B1D-F824-43CA-9C34-70197261D2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5</xdr:row>
          <xdr:rowOff>19050</xdr:rowOff>
        </xdr:from>
        <xdr:to>
          <xdr:col>3</xdr:col>
          <xdr:colOff>828675</xdr:colOff>
          <xdr:row>5</xdr:row>
          <xdr:rowOff>180975</xdr:rowOff>
        </xdr:to>
        <xdr:sp macro="" textlink="">
          <xdr:nvSpPr>
            <xdr:cNvPr id="17414" name="Scroll Bar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="" xmlns:a16="http://schemas.microsoft.com/office/drawing/2014/main" id="{067BB25F-7E51-46BF-81BA-64349211E5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6</xdr:row>
          <xdr:rowOff>19050</xdr:rowOff>
        </xdr:from>
        <xdr:to>
          <xdr:col>3</xdr:col>
          <xdr:colOff>828675</xdr:colOff>
          <xdr:row>6</xdr:row>
          <xdr:rowOff>180975</xdr:rowOff>
        </xdr:to>
        <xdr:sp macro="" textlink="">
          <xdr:nvSpPr>
            <xdr:cNvPr id="17415" name="Scroll Bar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="" xmlns:a16="http://schemas.microsoft.com/office/drawing/2014/main" id="{0F0E532F-15F9-4AC5-8F70-B54544AFB2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3</xdr:row>
          <xdr:rowOff>19050</xdr:rowOff>
        </xdr:from>
        <xdr:to>
          <xdr:col>3</xdr:col>
          <xdr:colOff>828675</xdr:colOff>
          <xdr:row>3</xdr:row>
          <xdr:rowOff>180975</xdr:rowOff>
        </xdr:to>
        <xdr:sp macro="" textlink="">
          <xdr:nvSpPr>
            <xdr:cNvPr id="17416" name="Scroll Bar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="" xmlns:a16="http://schemas.microsoft.com/office/drawing/2014/main" id="{0FCD88A1-401C-47A2-B0AE-AA4EC1DE6F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342900</xdr:colOff>
          <xdr:row>2</xdr:row>
          <xdr:rowOff>28575</xdr:rowOff>
        </xdr:from>
        <xdr:to>
          <xdr:col>3</xdr:col>
          <xdr:colOff>828675</xdr:colOff>
          <xdr:row>2</xdr:row>
          <xdr:rowOff>190500</xdr:rowOff>
        </xdr:to>
        <xdr:sp macro="" textlink="">
          <xdr:nvSpPr>
            <xdr:cNvPr id="17417" name="Scroll Bar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="" xmlns:a16="http://schemas.microsoft.com/office/drawing/2014/main" id="{197E9FF0-949A-4A74-834F-EF93269A42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12</xdr:row>
          <xdr:rowOff>19050</xdr:rowOff>
        </xdr:from>
        <xdr:to>
          <xdr:col>3</xdr:col>
          <xdr:colOff>838200</xdr:colOff>
          <xdr:row>12</xdr:row>
          <xdr:rowOff>180975</xdr:rowOff>
        </xdr:to>
        <xdr:sp macro="" textlink="">
          <xdr:nvSpPr>
            <xdr:cNvPr id="17418" name="Scroll Bar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="" xmlns:a16="http://schemas.microsoft.com/office/drawing/2014/main" id="{9253790A-D2E1-4D48-B5BB-36CA9E259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3</xdr:row>
          <xdr:rowOff>38100</xdr:rowOff>
        </xdr:from>
        <xdr:to>
          <xdr:col>6</xdr:col>
          <xdr:colOff>1028700</xdr:colOff>
          <xdr:row>3</xdr:row>
          <xdr:rowOff>190500</xdr:rowOff>
        </xdr:to>
        <xdr:sp macro="" textlink="">
          <xdr:nvSpPr>
            <xdr:cNvPr id="20481" name="Scroll Bar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="" xmlns:a16="http://schemas.microsoft.com/office/drawing/2014/main" id="{AC588A73-6B7D-42F5-82AB-51569D4E6D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4</xdr:row>
          <xdr:rowOff>28575</xdr:rowOff>
        </xdr:from>
        <xdr:to>
          <xdr:col>6</xdr:col>
          <xdr:colOff>1028700</xdr:colOff>
          <xdr:row>4</xdr:row>
          <xdr:rowOff>180975</xdr:rowOff>
        </xdr:to>
        <xdr:sp macro="" textlink="">
          <xdr:nvSpPr>
            <xdr:cNvPr id="20482" name="Scroll Bar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="" xmlns:a16="http://schemas.microsoft.com/office/drawing/2014/main" id="{7A4B36E8-B2EF-4F0D-9DCB-CCE0551BA7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5</xdr:row>
          <xdr:rowOff>28575</xdr:rowOff>
        </xdr:from>
        <xdr:to>
          <xdr:col>6</xdr:col>
          <xdr:colOff>1028700</xdr:colOff>
          <xdr:row>5</xdr:row>
          <xdr:rowOff>180975</xdr:rowOff>
        </xdr:to>
        <xdr:sp macro="" textlink="">
          <xdr:nvSpPr>
            <xdr:cNvPr id="20483" name="Scroll Bar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="" xmlns:a16="http://schemas.microsoft.com/office/drawing/2014/main" id="{5F0B4F70-8CD9-48B7-BC85-C4078B9CDF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6</xdr:row>
          <xdr:rowOff>28575</xdr:rowOff>
        </xdr:from>
        <xdr:to>
          <xdr:col>6</xdr:col>
          <xdr:colOff>1028700</xdr:colOff>
          <xdr:row>6</xdr:row>
          <xdr:rowOff>180975</xdr:rowOff>
        </xdr:to>
        <xdr:sp macro="" textlink="">
          <xdr:nvSpPr>
            <xdr:cNvPr id="20484" name="Scroll Bar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="" xmlns:a16="http://schemas.microsoft.com/office/drawing/2014/main" id="{BF5BC104-4D12-452C-AEA3-D0B6C35EA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4</xdr:row>
          <xdr:rowOff>28575</xdr:rowOff>
        </xdr:from>
        <xdr:to>
          <xdr:col>3</xdr:col>
          <xdr:colOff>971550</xdr:colOff>
          <xdr:row>4</xdr:row>
          <xdr:rowOff>180975</xdr:rowOff>
        </xdr:to>
        <xdr:sp macro="" textlink="">
          <xdr:nvSpPr>
            <xdr:cNvPr id="20485" name="Scroll Bar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="" xmlns:a16="http://schemas.microsoft.com/office/drawing/2014/main" id="{5B237D60-BB17-413A-84DE-DB85D1C431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5</xdr:row>
          <xdr:rowOff>28575</xdr:rowOff>
        </xdr:from>
        <xdr:to>
          <xdr:col>3</xdr:col>
          <xdr:colOff>971550</xdr:colOff>
          <xdr:row>5</xdr:row>
          <xdr:rowOff>180975</xdr:rowOff>
        </xdr:to>
        <xdr:sp macro="" textlink="">
          <xdr:nvSpPr>
            <xdr:cNvPr id="20486" name="Scroll Bar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="" xmlns:a16="http://schemas.microsoft.com/office/drawing/2014/main" id="{E573284D-9EB9-41A7-BCBD-FF9ACE22FD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6</xdr:row>
          <xdr:rowOff>28575</xdr:rowOff>
        </xdr:from>
        <xdr:to>
          <xdr:col>3</xdr:col>
          <xdr:colOff>971550</xdr:colOff>
          <xdr:row>6</xdr:row>
          <xdr:rowOff>180975</xdr:rowOff>
        </xdr:to>
        <xdr:sp macro="" textlink="">
          <xdr:nvSpPr>
            <xdr:cNvPr id="20487" name="Scroll Bar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="" xmlns:a16="http://schemas.microsoft.com/office/drawing/2014/main" id="{DA29F5C3-EC31-4C82-B488-78D812B968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28575</xdr:rowOff>
        </xdr:from>
        <xdr:to>
          <xdr:col>3</xdr:col>
          <xdr:colOff>971550</xdr:colOff>
          <xdr:row>7</xdr:row>
          <xdr:rowOff>180975</xdr:rowOff>
        </xdr:to>
        <xdr:sp macro="" textlink="">
          <xdr:nvSpPr>
            <xdr:cNvPr id="20488" name="Scroll Bar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="" xmlns:a16="http://schemas.microsoft.com/office/drawing/2014/main" id="{446ED785-4407-4208-BC16-7B95FF26D8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8</xdr:row>
          <xdr:rowOff>28575</xdr:rowOff>
        </xdr:from>
        <xdr:to>
          <xdr:col>3</xdr:col>
          <xdr:colOff>971550</xdr:colOff>
          <xdr:row>8</xdr:row>
          <xdr:rowOff>180975</xdr:rowOff>
        </xdr:to>
        <xdr:sp macro="" textlink="">
          <xdr:nvSpPr>
            <xdr:cNvPr id="20489" name="Scroll Bar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="" xmlns:a16="http://schemas.microsoft.com/office/drawing/2014/main" id="{BEA39EF1-E537-4DF2-8A91-6B04700240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9525</xdr:rowOff>
        </xdr:from>
        <xdr:to>
          <xdr:col>4</xdr:col>
          <xdr:colOff>314325</xdr:colOff>
          <xdr:row>2</xdr:row>
          <xdr:rowOff>228600</xdr:rowOff>
        </xdr:to>
        <xdr:sp macro="" textlink="">
          <xdr:nvSpPr>
            <xdr:cNvPr id="20490" name="Option Button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="" xmlns:a16="http://schemas.microsoft.com/office/drawing/2014/main" id="{C2EE9DE8-4969-4FD9-8B1A-392B1A5E85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</xdr:row>
          <xdr:rowOff>9525</xdr:rowOff>
        </xdr:from>
        <xdr:to>
          <xdr:col>5</xdr:col>
          <xdr:colOff>495300</xdr:colOff>
          <xdr:row>2</xdr:row>
          <xdr:rowOff>228600</xdr:rowOff>
        </xdr:to>
        <xdr:sp macro="" textlink="">
          <xdr:nvSpPr>
            <xdr:cNvPr id="20491" name="Option Button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="" xmlns:a16="http://schemas.microsoft.com/office/drawing/2014/main" id="{33B01B41-199A-4318-B76E-AB68BD3FC3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304799</xdr:colOff>
      <xdr:row>8</xdr:row>
      <xdr:rowOff>176212</xdr:rowOff>
    </xdr:from>
    <xdr:to>
      <xdr:col>14</xdr:col>
      <xdr:colOff>190499</xdr:colOff>
      <xdr:row>23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304799</xdr:colOff>
      <xdr:row>8</xdr:row>
      <xdr:rowOff>176212</xdr:rowOff>
    </xdr:from>
    <xdr:to>
      <xdr:col>14</xdr:col>
      <xdr:colOff>190499</xdr:colOff>
      <xdr:row>23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185737</xdr:rowOff>
    </xdr:from>
    <xdr:to>
      <xdr:col>15</xdr:col>
      <xdr:colOff>295275</xdr:colOff>
      <xdr:row>24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185737</xdr:rowOff>
    </xdr:from>
    <xdr:to>
      <xdr:col>14</xdr:col>
      <xdr:colOff>1028700</xdr:colOff>
      <xdr:row>23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409575</xdr:colOff>
      <xdr:row>25</xdr:row>
      <xdr:rowOff>185737</xdr:rowOff>
    </xdr:from>
    <xdr:to>
      <xdr:col>18</xdr:col>
      <xdr:colOff>0</xdr:colOff>
      <xdr:row>40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428625</xdr:colOff>
      <xdr:row>40</xdr:row>
      <xdr:rowOff>167745</xdr:rowOff>
    </xdr:from>
    <xdr:to>
      <xdr:col>18</xdr:col>
      <xdr:colOff>0</xdr:colOff>
      <xdr:row>55</xdr:row>
      <xdr:rowOff>53445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2</xdr:row>
          <xdr:rowOff>28575</xdr:rowOff>
        </xdr:from>
        <xdr:to>
          <xdr:col>2</xdr:col>
          <xdr:colOff>1676400</xdr:colOff>
          <xdr:row>2</xdr:row>
          <xdr:rowOff>190500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="" xmlns:a16="http://schemas.microsoft.com/office/drawing/2014/main" id="{54C8B8D6-05F0-4014-B4F2-1D6AC561B3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3</xdr:row>
          <xdr:rowOff>19050</xdr:rowOff>
        </xdr:from>
        <xdr:to>
          <xdr:col>2</xdr:col>
          <xdr:colOff>1676400</xdr:colOff>
          <xdr:row>3</xdr:row>
          <xdr:rowOff>180975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="" xmlns:a16="http://schemas.microsoft.com/office/drawing/2014/main" id="{4A50870C-B0D8-4D78-9F30-9AB8EB366B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28575</xdr:rowOff>
        </xdr:from>
        <xdr:to>
          <xdr:col>2</xdr:col>
          <xdr:colOff>1685925</xdr:colOff>
          <xdr:row>5</xdr:row>
          <xdr:rowOff>190500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="" xmlns:a16="http://schemas.microsoft.com/office/drawing/2014/main" id="{01AC4990-5557-4D29-B089-B3C259721D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19050</xdr:rowOff>
        </xdr:from>
        <xdr:to>
          <xdr:col>2</xdr:col>
          <xdr:colOff>1685925</xdr:colOff>
          <xdr:row>6</xdr:row>
          <xdr:rowOff>180975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="" xmlns:a16="http://schemas.microsoft.com/office/drawing/2014/main" id="{6C8B5F38-DF94-45D7-8B9D-7D02ECC286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5</xdr:row>
          <xdr:rowOff>28575</xdr:rowOff>
        </xdr:from>
        <xdr:to>
          <xdr:col>5</xdr:col>
          <xdr:colOff>1047750</xdr:colOff>
          <xdr:row>5</xdr:row>
          <xdr:rowOff>190500</xdr:rowOff>
        </xdr:to>
        <xdr:sp macro="" textlink="">
          <xdr:nvSpPr>
            <xdr:cNvPr id="14341" name="Scroll Bar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="" xmlns:a16="http://schemas.microsoft.com/office/drawing/2014/main" id="{F38A017B-7FA5-452F-999F-DA414C01BC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1038225</xdr:colOff>
          <xdr:row>6</xdr:row>
          <xdr:rowOff>19050</xdr:rowOff>
        </xdr:from>
        <xdr:to>
          <xdr:col>6</xdr:col>
          <xdr:colOff>428625</xdr:colOff>
          <xdr:row>6</xdr:row>
          <xdr:rowOff>180975</xdr:rowOff>
        </xdr:to>
        <xdr:sp macro="" textlink="">
          <xdr:nvSpPr>
            <xdr:cNvPr id="14342" name="Scroll Bar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="" xmlns:a16="http://schemas.microsoft.com/office/drawing/2014/main" id="{3246F998-5803-4F93-B4DB-830E3A0228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2</xdr:row>
          <xdr:rowOff>28575</xdr:rowOff>
        </xdr:from>
        <xdr:to>
          <xdr:col>2</xdr:col>
          <xdr:colOff>1676400</xdr:colOff>
          <xdr:row>2</xdr:row>
          <xdr:rowOff>190500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="" xmlns:a16="http://schemas.microsoft.com/office/drawing/2014/main" id="{379F5E32-3255-41CC-ACCF-44DAE7D281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3</xdr:row>
          <xdr:rowOff>19050</xdr:rowOff>
        </xdr:from>
        <xdr:to>
          <xdr:col>2</xdr:col>
          <xdr:colOff>1676400</xdr:colOff>
          <xdr:row>3</xdr:row>
          <xdr:rowOff>180975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="" xmlns:a16="http://schemas.microsoft.com/office/drawing/2014/main" id="{175DAADF-0D86-4C65-8134-E807D8C42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28575</xdr:rowOff>
        </xdr:from>
        <xdr:to>
          <xdr:col>2</xdr:col>
          <xdr:colOff>1685925</xdr:colOff>
          <xdr:row>5</xdr:row>
          <xdr:rowOff>190500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="" xmlns:a16="http://schemas.microsoft.com/office/drawing/2014/main" id="{F21D96D7-C23B-4DAF-A507-73B912E724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19050</xdr:rowOff>
        </xdr:from>
        <xdr:to>
          <xdr:col>2</xdr:col>
          <xdr:colOff>1685925</xdr:colOff>
          <xdr:row>6</xdr:row>
          <xdr:rowOff>180975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="" xmlns:a16="http://schemas.microsoft.com/office/drawing/2014/main" id="{6E42E220-A57D-4202-963E-85A6C89223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5</xdr:row>
          <xdr:rowOff>28575</xdr:rowOff>
        </xdr:from>
        <xdr:to>
          <xdr:col>5</xdr:col>
          <xdr:colOff>1047750</xdr:colOff>
          <xdr:row>5</xdr:row>
          <xdr:rowOff>190500</xdr:rowOff>
        </xdr:to>
        <xdr:sp macro="" textlink="">
          <xdr:nvSpPr>
            <xdr:cNvPr id="15365" name="Scroll Ba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="" xmlns:a16="http://schemas.microsoft.com/office/drawing/2014/main" id="{1AA28963-239C-4574-BA4D-8DB4D9DD7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1038225</xdr:colOff>
          <xdr:row>6</xdr:row>
          <xdr:rowOff>19050</xdr:rowOff>
        </xdr:from>
        <xdr:to>
          <xdr:col>6</xdr:col>
          <xdr:colOff>428625</xdr:colOff>
          <xdr:row>6</xdr:row>
          <xdr:rowOff>180975</xdr:rowOff>
        </xdr:to>
        <xdr:sp macro="" textlink="">
          <xdr:nvSpPr>
            <xdr:cNvPr id="15366" name="Scroll Bar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="" xmlns:a16="http://schemas.microsoft.com/office/drawing/2014/main" id="{276BD792-CC34-4BC1-96A9-D80A6DC957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3</xdr:row>
          <xdr:rowOff>28575</xdr:rowOff>
        </xdr:from>
        <xdr:to>
          <xdr:col>2</xdr:col>
          <xdr:colOff>1676400</xdr:colOff>
          <xdr:row>3</xdr:row>
          <xdr:rowOff>190500</xdr:rowOff>
        </xdr:to>
        <xdr:sp macro="" textlink="">
          <xdr:nvSpPr>
            <xdr:cNvPr id="16385" name="Scroll Bar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="" xmlns:a16="http://schemas.microsoft.com/office/drawing/2014/main" id="{A8A37E50-88EC-41DE-9F0F-9BD716BED6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4</xdr:row>
          <xdr:rowOff>19050</xdr:rowOff>
        </xdr:from>
        <xdr:to>
          <xdr:col>2</xdr:col>
          <xdr:colOff>1676400</xdr:colOff>
          <xdr:row>4</xdr:row>
          <xdr:rowOff>180975</xdr:rowOff>
        </xdr:to>
        <xdr:sp macro="" textlink="">
          <xdr:nvSpPr>
            <xdr:cNvPr id="16386" name="Scroll Bar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="" xmlns:a16="http://schemas.microsoft.com/office/drawing/2014/main" id="{007F2429-C397-47E5-9EA5-A0B797BFF5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28575</xdr:rowOff>
        </xdr:from>
        <xdr:to>
          <xdr:col>2</xdr:col>
          <xdr:colOff>1685925</xdr:colOff>
          <xdr:row>6</xdr:row>
          <xdr:rowOff>190500</xdr:rowOff>
        </xdr:to>
        <xdr:sp macro="" textlink="">
          <xdr:nvSpPr>
            <xdr:cNvPr id="16387" name="Scroll Bar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="" xmlns:a16="http://schemas.microsoft.com/office/drawing/2014/main" id="{E76AED90-FE17-4C93-BDC8-532A67E93A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19050</xdr:rowOff>
        </xdr:from>
        <xdr:to>
          <xdr:col>2</xdr:col>
          <xdr:colOff>1685925</xdr:colOff>
          <xdr:row>7</xdr:row>
          <xdr:rowOff>180975</xdr:rowOff>
        </xdr:to>
        <xdr:sp macro="" textlink="">
          <xdr:nvSpPr>
            <xdr:cNvPr id="16388" name="Scroll Bar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="" xmlns:a16="http://schemas.microsoft.com/office/drawing/2014/main" id="{52783F9F-ED3E-46FB-80C3-A3F548CCCA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6</xdr:row>
          <xdr:rowOff>28575</xdr:rowOff>
        </xdr:from>
        <xdr:to>
          <xdr:col>5</xdr:col>
          <xdr:colOff>1047750</xdr:colOff>
          <xdr:row>6</xdr:row>
          <xdr:rowOff>190500</xdr:rowOff>
        </xdr:to>
        <xdr:sp macro="" textlink="">
          <xdr:nvSpPr>
            <xdr:cNvPr id="16389" name="Scroll Bar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="" xmlns:a16="http://schemas.microsoft.com/office/drawing/2014/main" id="{F634E3BF-8F30-4FCB-AE8B-1AA69D60AA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1038225</xdr:colOff>
          <xdr:row>7</xdr:row>
          <xdr:rowOff>19050</xdr:rowOff>
        </xdr:from>
        <xdr:to>
          <xdr:col>6</xdr:col>
          <xdr:colOff>428625</xdr:colOff>
          <xdr:row>7</xdr:row>
          <xdr:rowOff>180975</xdr:rowOff>
        </xdr:to>
        <xdr:sp macro="" textlink="">
          <xdr:nvSpPr>
            <xdr:cNvPr id="16390" name="Scroll Bar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="" xmlns:a16="http://schemas.microsoft.com/office/drawing/2014/main" id="{00316086-AF5F-4AC7-81D1-B65137B866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1000125</xdr:colOff>
          <xdr:row>1</xdr:row>
          <xdr:rowOff>228600</xdr:rowOff>
        </xdr:from>
        <xdr:to>
          <xdr:col>2</xdr:col>
          <xdr:colOff>1209675</xdr:colOff>
          <xdr:row>3</xdr:row>
          <xdr:rowOff>9525</xdr:rowOff>
        </xdr:to>
        <xdr:sp macro="" textlink="">
          <xdr:nvSpPr>
            <xdr:cNvPr id="16391" name="Option Button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="" xmlns:a16="http://schemas.microsoft.com/office/drawing/2014/main" id="{E72EA16E-3575-420A-9ACD-0831FAE251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</xdr:row>
          <xdr:rowOff>228600</xdr:rowOff>
        </xdr:from>
        <xdr:to>
          <xdr:col>3</xdr:col>
          <xdr:colOff>209550</xdr:colOff>
          <xdr:row>3</xdr:row>
          <xdr:rowOff>9525</xdr:rowOff>
        </xdr:to>
        <xdr:sp macro="" textlink="">
          <xdr:nvSpPr>
            <xdr:cNvPr id="16392" name="Option Button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="" xmlns:a16="http://schemas.microsoft.com/office/drawing/2014/main" id="{8D9748AD-E60E-4C6F-9568-77B3030D5A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1762125</xdr:colOff>
          <xdr:row>2</xdr:row>
          <xdr:rowOff>28575</xdr:rowOff>
        </xdr:from>
        <xdr:to>
          <xdr:col>1</xdr:col>
          <xdr:colOff>2247900</xdr:colOff>
          <xdr:row>2</xdr:row>
          <xdr:rowOff>190500</xdr:rowOff>
        </xdr:to>
        <xdr:sp macro="" textlink="">
          <xdr:nvSpPr>
            <xdr:cNvPr id="19458" name="Scroll Bar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="" xmlns:a16="http://schemas.microsoft.com/office/drawing/2014/main" id="{7224797B-46A3-4B81-AFCB-C5BFD43DB7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1762125</xdr:colOff>
          <xdr:row>3</xdr:row>
          <xdr:rowOff>19050</xdr:rowOff>
        </xdr:from>
        <xdr:to>
          <xdr:col>1</xdr:col>
          <xdr:colOff>2247900</xdr:colOff>
          <xdr:row>3</xdr:row>
          <xdr:rowOff>180975</xdr:rowOff>
        </xdr:to>
        <xdr:sp macro="" textlink="">
          <xdr:nvSpPr>
            <xdr:cNvPr id="19459" name="Scroll Bar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="" xmlns:a16="http://schemas.microsoft.com/office/drawing/2014/main" id="{C532E65A-5851-4D86-805D-FB0140169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1762125</xdr:colOff>
          <xdr:row>4</xdr:row>
          <xdr:rowOff>9525</xdr:rowOff>
        </xdr:from>
        <xdr:to>
          <xdr:col>1</xdr:col>
          <xdr:colOff>2247900</xdr:colOff>
          <xdr:row>4</xdr:row>
          <xdr:rowOff>171450</xdr:rowOff>
        </xdr:to>
        <xdr:sp macro="" textlink="">
          <xdr:nvSpPr>
            <xdr:cNvPr id="19460" name="Scroll Bar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="" xmlns:a16="http://schemas.microsoft.com/office/drawing/2014/main" id="{D0753903-A2F0-4703-BD2D-2B01B13B07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1/150FUNGSI/specialized%20lookup%20examp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>
            <v>0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>
            <v>0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>
            <v>0</v>
          </cell>
        </row>
        <row r="208">
          <cell r="V208" t="str">
            <v>PROJECTED STREET</v>
          </cell>
          <cell r="X208">
            <v>35966.992822222222</v>
          </cell>
          <cell r="BT208">
            <v>0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7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13" Type="http://schemas.openxmlformats.org/officeDocument/2006/relationships/ctrlProp" Target="../ctrlProps/ctrlProp37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0" Type="http://schemas.openxmlformats.org/officeDocument/2006/relationships/ctrlProp" Target="../ctrlProps/ctrlProp34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13" Type="http://schemas.openxmlformats.org/officeDocument/2006/relationships/ctrlProp" Target="../ctrlProps/ctrlProp47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41.xml"/><Relationship Id="rId12" Type="http://schemas.openxmlformats.org/officeDocument/2006/relationships/ctrlProp" Target="../ctrlProps/ctrlProp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0" Type="http://schemas.openxmlformats.org/officeDocument/2006/relationships/ctrlProp" Target="../ctrlProps/ctrlProp44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Relationship Id="rId14" Type="http://schemas.openxmlformats.org/officeDocument/2006/relationships/ctrlProp" Target="../ctrlProps/ctrlProp4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ctrlProp" Target="../ctrlProps/ctrlProp7.xml"/><Relationship Id="rId7" Type="http://schemas.openxmlformats.org/officeDocument/2006/relationships/ctrlProp" Target="../ctrlProps/ctrlProp1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3" Type="http://schemas.openxmlformats.org/officeDocument/2006/relationships/ctrlProp" Target="../ctrlProps/ctrlProp13.xml"/><Relationship Id="rId7" Type="http://schemas.openxmlformats.org/officeDocument/2006/relationships/ctrlProp" Target="../ctrlProps/ctrlProp1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10" Type="http://schemas.openxmlformats.org/officeDocument/2006/relationships/ctrlProp" Target="../ctrlProps/ctrlProp2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showGridLines="0" tabSelected="1" zoomScale="96" zoomScaleNormal="96" workbookViewId="0">
      <selection activeCell="D5" sqref="D5:D6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9.85546875" style="1" customWidth="1"/>
    <col min="4" max="4" width="19.42578125" style="1" customWidth="1"/>
    <col min="5" max="5" width="18.42578125" style="1" customWidth="1"/>
    <col min="6" max="6" width="9.140625" style="1"/>
    <col min="7" max="8" width="11.5703125" style="1" customWidth="1"/>
    <col min="9" max="9" width="3.42578125" style="1" customWidth="1"/>
    <col min="10" max="10" width="19.42578125" style="1" customWidth="1"/>
    <col min="11" max="11" width="12.2851562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28" t="s">
        <v>65</v>
      </c>
    </row>
    <row r="3" spans="2:11" x14ac:dyDescent="0.25">
      <c r="B3" s="34" t="s">
        <v>22</v>
      </c>
      <c r="C3" s="35" t="s">
        <v>18</v>
      </c>
      <c r="D3" s="35" t="s">
        <v>16</v>
      </c>
      <c r="E3" s="35" t="s">
        <v>17</v>
      </c>
      <c r="F3" s="35" t="s">
        <v>21</v>
      </c>
      <c r="G3" s="35" t="s">
        <v>15</v>
      </c>
      <c r="H3" s="34" t="s">
        <v>14</v>
      </c>
      <c r="J3" s="40" t="s">
        <v>16</v>
      </c>
    </row>
    <row r="4" spans="2:11" x14ac:dyDescent="0.25">
      <c r="B4" s="273" t="s">
        <v>13</v>
      </c>
      <c r="C4" s="274"/>
      <c r="D4" s="274"/>
      <c r="E4" s="274"/>
      <c r="F4" s="274"/>
      <c r="G4" s="275"/>
      <c r="H4" s="39">
        <v>3000000</v>
      </c>
      <c r="J4" s="30" t="s">
        <v>20</v>
      </c>
    </row>
    <row r="5" spans="2:11" x14ac:dyDescent="0.25">
      <c r="B5" s="36"/>
      <c r="C5" s="36"/>
      <c r="D5" s="37" t="s">
        <v>0</v>
      </c>
      <c r="E5" s="36"/>
      <c r="F5" s="36"/>
      <c r="G5" s="38">
        <v>2250000</v>
      </c>
      <c r="H5" s="38">
        <f t="shared" ref="H5:H10" si="0">IF(D5="","",IF(D5="Penambahan dana",H4+G5,H4-G5))</f>
        <v>750000</v>
      </c>
      <c r="J5" s="30" t="s">
        <v>0</v>
      </c>
    </row>
    <row r="6" spans="2:11" x14ac:dyDescent="0.25">
      <c r="B6" s="36"/>
      <c r="C6" s="36"/>
      <c r="D6" s="37" t="s">
        <v>0</v>
      </c>
      <c r="E6" s="36"/>
      <c r="F6" s="36"/>
      <c r="G6" s="38">
        <v>150000</v>
      </c>
      <c r="H6" s="38">
        <f t="shared" si="0"/>
        <v>600000</v>
      </c>
    </row>
    <row r="7" spans="2:11" x14ac:dyDescent="0.25">
      <c r="B7" s="36"/>
      <c r="C7" s="36"/>
      <c r="D7" s="37" t="s">
        <v>20</v>
      </c>
      <c r="E7" s="36"/>
      <c r="F7" s="36"/>
      <c r="G7" s="38">
        <v>125000</v>
      </c>
      <c r="H7" s="38">
        <f t="shared" si="0"/>
        <v>725000</v>
      </c>
      <c r="J7" s="1" t="s">
        <v>66</v>
      </c>
    </row>
    <row r="8" spans="2:11" x14ac:dyDescent="0.25">
      <c r="B8" s="36"/>
      <c r="C8" s="36"/>
      <c r="D8" s="37"/>
      <c r="E8" s="36"/>
      <c r="F8" s="36"/>
      <c r="G8" s="38"/>
      <c r="H8" s="38" t="str">
        <f t="shared" si="0"/>
        <v/>
      </c>
      <c r="J8" s="21" t="s">
        <v>37</v>
      </c>
      <c r="K8" s="23">
        <f>H4</f>
        <v>3000000</v>
      </c>
    </row>
    <row r="9" spans="2:11" x14ac:dyDescent="0.25">
      <c r="B9" s="36"/>
      <c r="C9" s="36"/>
      <c r="D9" s="37"/>
      <c r="E9" s="36"/>
      <c r="F9" s="36"/>
      <c r="G9" s="38"/>
      <c r="H9" s="38" t="str">
        <f t="shared" si="0"/>
        <v/>
      </c>
      <c r="J9" s="21" t="str">
        <f>J4</f>
        <v>Penambahan dana</v>
      </c>
      <c r="K9" s="23">
        <f>SUMIF(D$5:D$10,J9,G$5:G$10)</f>
        <v>125000</v>
      </c>
    </row>
    <row r="10" spans="2:11" x14ac:dyDescent="0.25">
      <c r="B10" s="36"/>
      <c r="C10" s="36"/>
      <c r="D10" s="37"/>
      <c r="E10" s="36"/>
      <c r="F10" s="36"/>
      <c r="G10" s="38"/>
      <c r="H10" s="38" t="str">
        <f t="shared" si="0"/>
        <v/>
      </c>
      <c r="J10" s="21" t="str">
        <f>J5</f>
        <v>Pengeluaran</v>
      </c>
      <c r="K10" s="23">
        <f>SUMIF(D$5:D$10,J10,G$5:G$10)</f>
        <v>2400000</v>
      </c>
    </row>
    <row r="11" spans="2:11" x14ac:dyDescent="0.25">
      <c r="J11" s="42" t="s">
        <v>61</v>
      </c>
      <c r="K11" s="41">
        <f>K8+K9-K10</f>
        <v>725000</v>
      </c>
    </row>
    <row r="26" ht="19.5" customHeight="1" x14ac:dyDescent="0.25"/>
  </sheetData>
  <mergeCells count="1">
    <mergeCell ref="B4:G4"/>
  </mergeCells>
  <dataValidations count="1">
    <dataValidation type="list" allowBlank="1" showInputMessage="1" showErrorMessage="1" sqref="D5:D10">
      <formula1>$J$4:$J$5</formula1>
    </dataValidation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"/>
  <sheetViews>
    <sheetView showGridLines="0" zoomScale="93" zoomScaleNormal="93" workbookViewId="0">
      <selection activeCell="C8" sqref="C8"/>
    </sheetView>
  </sheetViews>
  <sheetFormatPr defaultRowHeight="15" x14ac:dyDescent="0.25"/>
  <cols>
    <col min="1" max="1" width="6.140625" style="79" customWidth="1"/>
    <col min="2" max="2" width="36" style="79" customWidth="1"/>
    <col min="3" max="3" width="13" style="79" customWidth="1"/>
    <col min="4" max="4" width="3.7109375" style="79" customWidth="1"/>
    <col min="5" max="5" width="6" style="79" customWidth="1"/>
    <col min="6" max="6" width="13.28515625" style="79" customWidth="1"/>
    <col min="7" max="8" width="11.5703125" style="79" customWidth="1"/>
    <col min="9" max="9" width="13.7109375" style="79" customWidth="1"/>
    <col min="10" max="14" width="11.5703125" style="79" customWidth="1"/>
    <col min="15" max="15" width="6.140625" style="79" customWidth="1"/>
    <col min="16" max="16384" width="9.140625" style="79"/>
  </cols>
  <sheetData>
    <row r="1" spans="1:14" ht="19.5" customHeight="1" x14ac:dyDescent="0.25"/>
    <row r="2" spans="1:14" ht="18.75" x14ac:dyDescent="0.25">
      <c r="B2" s="80" t="s">
        <v>90</v>
      </c>
    </row>
    <row r="3" spans="1:14" ht="17.25" customHeight="1" x14ac:dyDescent="0.25">
      <c r="B3" s="141" t="s">
        <v>84</v>
      </c>
      <c r="C3" s="199">
        <v>15000000</v>
      </c>
      <c r="E3" s="84" t="s">
        <v>76</v>
      </c>
    </row>
    <row r="4" spans="1:14" ht="17.25" customHeight="1" x14ac:dyDescent="0.25">
      <c r="B4" s="141" t="s">
        <v>85</v>
      </c>
      <c r="C4" s="199">
        <v>450000</v>
      </c>
      <c r="E4" s="85" t="s">
        <v>91</v>
      </c>
      <c r="F4" s="86"/>
      <c r="G4" s="86"/>
      <c r="H4" s="87"/>
      <c r="I4" s="202">
        <f>J4*1000000</f>
        <v>100000000</v>
      </c>
      <c r="J4" s="88">
        <v>100</v>
      </c>
    </row>
    <row r="5" spans="1:14" ht="17.25" customHeight="1" x14ac:dyDescent="0.25">
      <c r="B5" s="141" t="s">
        <v>86</v>
      </c>
      <c r="C5" s="199">
        <v>1750000</v>
      </c>
      <c r="E5" s="85" t="s">
        <v>92</v>
      </c>
      <c r="F5" s="86"/>
      <c r="G5" s="86"/>
      <c r="H5" s="87"/>
      <c r="I5" s="202">
        <f>J5*1000000</f>
        <v>5000000</v>
      </c>
      <c r="J5" s="89">
        <v>5</v>
      </c>
    </row>
    <row r="6" spans="1:14" ht="17.25" customHeight="1" x14ac:dyDescent="0.25">
      <c r="B6" s="141" t="s">
        <v>87</v>
      </c>
      <c r="C6" s="199">
        <f>C3-C4-C5</f>
        <v>12800000</v>
      </c>
      <c r="E6" s="90" t="s">
        <v>93</v>
      </c>
      <c r="F6" s="87"/>
      <c r="G6" s="87"/>
      <c r="H6" s="87"/>
      <c r="I6" s="203">
        <f>J6/10000</f>
        <v>9.5000000000000001E-2</v>
      </c>
      <c r="J6" s="88">
        <v>950</v>
      </c>
    </row>
    <row r="7" spans="1:14" ht="17.25" customHeight="1" x14ac:dyDescent="0.25">
      <c r="A7" s="81">
        <v>40</v>
      </c>
      <c r="B7" s="142" t="s">
        <v>88</v>
      </c>
      <c r="C7" s="200">
        <f>A7/100</f>
        <v>0.4</v>
      </c>
    </row>
    <row r="8" spans="1:14" ht="17.25" customHeight="1" x14ac:dyDescent="0.25">
      <c r="B8" s="143" t="s">
        <v>89</v>
      </c>
      <c r="C8" s="201">
        <f>C6*C7</f>
        <v>5120000</v>
      </c>
      <c r="E8" s="289" t="s">
        <v>19</v>
      </c>
      <c r="F8" s="291" t="s">
        <v>82</v>
      </c>
      <c r="G8" s="292" t="s">
        <v>94</v>
      </c>
      <c r="H8" s="293"/>
      <c r="I8" s="293"/>
      <c r="J8" s="293"/>
      <c r="K8" s="293"/>
      <c r="L8" s="293"/>
      <c r="M8" s="293"/>
      <c r="N8" s="294"/>
    </row>
    <row r="9" spans="1:14" ht="17.25" customHeight="1" x14ac:dyDescent="0.25">
      <c r="B9" s="82"/>
      <c r="C9" s="83"/>
      <c r="E9" s="290"/>
      <c r="F9" s="291"/>
      <c r="G9" s="91">
        <v>2</v>
      </c>
      <c r="H9" s="92">
        <v>3</v>
      </c>
      <c r="I9" s="92">
        <v>5</v>
      </c>
      <c r="J9" s="92">
        <v>6</v>
      </c>
      <c r="K9" s="92">
        <v>7</v>
      </c>
      <c r="L9" s="92">
        <v>8</v>
      </c>
      <c r="M9" s="92">
        <v>9</v>
      </c>
      <c r="N9" s="92">
        <v>10</v>
      </c>
    </row>
    <row r="10" spans="1:14" ht="17.25" customHeight="1" x14ac:dyDescent="0.25">
      <c r="B10" s="82"/>
      <c r="C10" s="83"/>
      <c r="E10" s="93">
        <v>1</v>
      </c>
      <c r="F10" s="139">
        <f>I4</f>
        <v>100000000</v>
      </c>
      <c r="G10" s="140">
        <f t="shared" ref="G10:N25" si="0">PMT($I$6/12,G$9*12,-$F10)</f>
        <v>4591449.2988925315</v>
      </c>
      <c r="H10" s="140">
        <f t="shared" si="0"/>
        <v>3203294.9740781686</v>
      </c>
      <c r="I10" s="140">
        <f t="shared" si="0"/>
        <v>2100186.1309715509</v>
      </c>
      <c r="J10" s="140">
        <f t="shared" si="0"/>
        <v>1827469.081328593</v>
      </c>
      <c r="K10" s="140">
        <f t="shared" si="0"/>
        <v>1634398.168129842</v>
      </c>
      <c r="L10" s="140">
        <f t="shared" si="0"/>
        <v>1491088.733777991</v>
      </c>
      <c r="M10" s="140">
        <f t="shared" si="0"/>
        <v>1380936.0782916523</v>
      </c>
      <c r="N10" s="140">
        <f t="shared" si="0"/>
        <v>1293975.5756077704</v>
      </c>
    </row>
    <row r="11" spans="1:14" x14ac:dyDescent="0.25">
      <c r="C11" s="94"/>
      <c r="E11" s="93">
        <v>2</v>
      </c>
      <c r="F11" s="139">
        <f t="shared" ref="F11:F29" si="1">F10+I$5</f>
        <v>105000000</v>
      </c>
      <c r="G11" s="140">
        <f t="shared" si="0"/>
        <v>4821021.7638371587</v>
      </c>
      <c r="H11" s="140">
        <f t="shared" si="0"/>
        <v>3363459.7227820768</v>
      </c>
      <c r="I11" s="140">
        <f t="shared" si="0"/>
        <v>2205195.4375201287</v>
      </c>
      <c r="J11" s="140">
        <f t="shared" si="0"/>
        <v>1918842.5353950225</v>
      </c>
      <c r="K11" s="140">
        <f t="shared" si="0"/>
        <v>1716118.0765363344</v>
      </c>
      <c r="L11" s="140">
        <f t="shared" si="0"/>
        <v>1565643.1704668906</v>
      </c>
      <c r="M11" s="140">
        <f t="shared" si="0"/>
        <v>1449982.8822062346</v>
      </c>
      <c r="N11" s="140">
        <f t="shared" si="0"/>
        <v>1358674.3543881588</v>
      </c>
    </row>
    <row r="12" spans="1:14" x14ac:dyDescent="0.25">
      <c r="C12" s="83"/>
      <c r="E12" s="93">
        <v>3</v>
      </c>
      <c r="F12" s="139">
        <f t="shared" si="1"/>
        <v>110000000</v>
      </c>
      <c r="G12" s="140">
        <f t="shared" si="0"/>
        <v>5050594.2287817849</v>
      </c>
      <c r="H12" s="140">
        <f t="shared" si="0"/>
        <v>3523624.4714859859</v>
      </c>
      <c r="I12" s="140">
        <f t="shared" si="0"/>
        <v>2310204.7440687059</v>
      </c>
      <c r="J12" s="140">
        <f t="shared" si="0"/>
        <v>2010215.9894614522</v>
      </c>
      <c r="K12" s="140">
        <f t="shared" si="0"/>
        <v>1797837.9849428262</v>
      </c>
      <c r="L12" s="140">
        <f t="shared" si="0"/>
        <v>1640197.6071557901</v>
      </c>
      <c r="M12" s="140">
        <f t="shared" si="0"/>
        <v>1519029.6861208174</v>
      </c>
      <c r="N12" s="140">
        <f t="shared" si="0"/>
        <v>1423373.1331685472</v>
      </c>
    </row>
    <row r="13" spans="1:14" x14ac:dyDescent="0.25">
      <c r="E13" s="93">
        <v>4</v>
      </c>
      <c r="F13" s="139">
        <f t="shared" si="1"/>
        <v>115000000</v>
      </c>
      <c r="G13" s="140">
        <f t="shared" si="0"/>
        <v>5280166.6937264111</v>
      </c>
      <c r="H13" s="140">
        <f t="shared" si="0"/>
        <v>3683789.2201898941</v>
      </c>
      <c r="I13" s="140">
        <f t="shared" si="0"/>
        <v>2415214.0506172837</v>
      </c>
      <c r="J13" s="140">
        <f t="shared" si="0"/>
        <v>2101589.443527882</v>
      </c>
      <c r="K13" s="140">
        <f t="shared" si="0"/>
        <v>1879557.8933493185</v>
      </c>
      <c r="L13" s="140">
        <f t="shared" si="0"/>
        <v>1714752.0438446898</v>
      </c>
      <c r="M13" s="140">
        <f t="shared" si="0"/>
        <v>1588076.4900354</v>
      </c>
      <c r="N13" s="140">
        <f t="shared" si="0"/>
        <v>1488071.9119489358</v>
      </c>
    </row>
    <row r="14" spans="1:14" x14ac:dyDescent="0.25">
      <c r="E14" s="93">
        <v>5</v>
      </c>
      <c r="F14" s="139">
        <f t="shared" si="1"/>
        <v>120000000</v>
      </c>
      <c r="G14" s="140">
        <f t="shared" si="0"/>
        <v>5509739.1586710373</v>
      </c>
      <c r="H14" s="140">
        <f t="shared" si="0"/>
        <v>3843953.9688938023</v>
      </c>
      <c r="I14" s="140">
        <f t="shared" si="0"/>
        <v>2520223.3571658609</v>
      </c>
      <c r="J14" s="140">
        <f t="shared" si="0"/>
        <v>2192962.8975943117</v>
      </c>
      <c r="K14" s="140">
        <f t="shared" si="0"/>
        <v>1961277.8017558106</v>
      </c>
      <c r="L14" s="140">
        <f t="shared" si="0"/>
        <v>1789306.4805335891</v>
      </c>
      <c r="M14" s="140">
        <f t="shared" si="0"/>
        <v>1657123.2939499826</v>
      </c>
      <c r="N14" s="140">
        <f t="shared" si="0"/>
        <v>1552770.6907293242</v>
      </c>
    </row>
    <row r="15" spans="1:14" x14ac:dyDescent="0.25">
      <c r="E15" s="93">
        <v>6</v>
      </c>
      <c r="F15" s="139">
        <f t="shared" si="1"/>
        <v>125000000</v>
      </c>
      <c r="G15" s="140">
        <f t="shared" si="0"/>
        <v>5739311.6236156644</v>
      </c>
      <c r="H15" s="140">
        <f t="shared" si="0"/>
        <v>4004118.7175977104</v>
      </c>
      <c r="I15" s="140">
        <f t="shared" si="0"/>
        <v>2625232.6637144387</v>
      </c>
      <c r="J15" s="140">
        <f t="shared" si="0"/>
        <v>2284336.351660741</v>
      </c>
      <c r="K15" s="140">
        <f t="shared" si="0"/>
        <v>2042997.7101623025</v>
      </c>
      <c r="L15" s="140">
        <f t="shared" si="0"/>
        <v>1863860.9172224889</v>
      </c>
      <c r="M15" s="140">
        <f t="shared" si="0"/>
        <v>1726170.0978645652</v>
      </c>
      <c r="N15" s="140">
        <f t="shared" si="0"/>
        <v>1617469.4695097127</v>
      </c>
    </row>
    <row r="16" spans="1:14" x14ac:dyDescent="0.25">
      <c r="E16" s="93">
        <v>7</v>
      </c>
      <c r="F16" s="139">
        <f t="shared" si="1"/>
        <v>130000000</v>
      </c>
      <c r="G16" s="140">
        <f t="shared" si="0"/>
        <v>5968884.0885602916</v>
      </c>
      <c r="H16" s="140">
        <f t="shared" si="0"/>
        <v>4164283.4663016195</v>
      </c>
      <c r="I16" s="140">
        <f t="shared" si="0"/>
        <v>2730241.9702630164</v>
      </c>
      <c r="J16" s="140">
        <f t="shared" si="0"/>
        <v>2375709.8057271708</v>
      </c>
      <c r="K16" s="140">
        <f t="shared" si="0"/>
        <v>2124717.6185687948</v>
      </c>
      <c r="L16" s="140">
        <f t="shared" si="0"/>
        <v>1938415.3539113884</v>
      </c>
      <c r="M16" s="140">
        <f t="shared" si="0"/>
        <v>1795216.901779148</v>
      </c>
      <c r="N16" s="140">
        <f t="shared" si="0"/>
        <v>1682168.2482901013</v>
      </c>
    </row>
    <row r="17" spans="5:14" x14ac:dyDescent="0.25">
      <c r="E17" s="93">
        <v>8</v>
      </c>
      <c r="F17" s="139">
        <f t="shared" si="1"/>
        <v>135000000</v>
      </c>
      <c r="G17" s="140">
        <f t="shared" si="0"/>
        <v>6198456.5535049178</v>
      </c>
      <c r="H17" s="140">
        <f t="shared" si="0"/>
        <v>4324448.2150055282</v>
      </c>
      <c r="I17" s="140">
        <f t="shared" si="0"/>
        <v>2835251.2768115937</v>
      </c>
      <c r="J17" s="140">
        <f t="shared" si="0"/>
        <v>2467083.2597936005</v>
      </c>
      <c r="K17" s="140">
        <f t="shared" si="0"/>
        <v>2206437.5269752871</v>
      </c>
      <c r="L17" s="140">
        <f t="shared" si="0"/>
        <v>2012969.790600288</v>
      </c>
      <c r="M17" s="140">
        <f t="shared" si="0"/>
        <v>1864263.7056937304</v>
      </c>
      <c r="N17" s="140">
        <f t="shared" si="0"/>
        <v>1746867.0270704899</v>
      </c>
    </row>
    <row r="18" spans="5:14" x14ac:dyDescent="0.25">
      <c r="E18" s="93">
        <v>9</v>
      </c>
      <c r="F18" s="139">
        <f t="shared" si="1"/>
        <v>140000000</v>
      </c>
      <c r="G18" s="140">
        <f t="shared" si="0"/>
        <v>6428029.018449544</v>
      </c>
      <c r="H18" s="140">
        <f t="shared" si="0"/>
        <v>4484612.9637094364</v>
      </c>
      <c r="I18" s="140">
        <f t="shared" si="0"/>
        <v>2940260.5833601714</v>
      </c>
      <c r="J18" s="140">
        <f t="shared" si="0"/>
        <v>2558456.7138600303</v>
      </c>
      <c r="K18" s="140">
        <f t="shared" si="0"/>
        <v>2288157.435381779</v>
      </c>
      <c r="L18" s="140">
        <f t="shared" si="0"/>
        <v>2087524.2272891875</v>
      </c>
      <c r="M18" s="140">
        <f t="shared" si="0"/>
        <v>1933310.509608313</v>
      </c>
      <c r="N18" s="140">
        <f t="shared" si="0"/>
        <v>1811565.8058508784</v>
      </c>
    </row>
    <row r="19" spans="5:14" x14ac:dyDescent="0.25">
      <c r="E19" s="93">
        <v>10</v>
      </c>
      <c r="F19" s="139">
        <f t="shared" si="1"/>
        <v>145000000</v>
      </c>
      <c r="G19" s="140">
        <f t="shared" si="0"/>
        <v>6657601.4833941702</v>
      </c>
      <c r="H19" s="140">
        <f t="shared" si="0"/>
        <v>4644777.7124133445</v>
      </c>
      <c r="I19" s="140">
        <f t="shared" si="0"/>
        <v>3045269.8899087487</v>
      </c>
      <c r="J19" s="140">
        <f t="shared" si="0"/>
        <v>2649830.16792646</v>
      </c>
      <c r="K19" s="140">
        <f t="shared" si="0"/>
        <v>2369877.3437882708</v>
      </c>
      <c r="L19" s="140">
        <f t="shared" si="0"/>
        <v>2162078.6639780868</v>
      </c>
      <c r="M19" s="140">
        <f t="shared" si="0"/>
        <v>2002357.3135228958</v>
      </c>
      <c r="N19" s="140">
        <f t="shared" si="0"/>
        <v>1876264.5846312668</v>
      </c>
    </row>
    <row r="20" spans="5:14" x14ac:dyDescent="0.25">
      <c r="E20" s="93">
        <v>11</v>
      </c>
      <c r="F20" s="139">
        <f t="shared" si="1"/>
        <v>150000000</v>
      </c>
      <c r="G20" s="140">
        <f t="shared" si="0"/>
        <v>6887173.9483387973</v>
      </c>
      <c r="H20" s="140">
        <f t="shared" si="0"/>
        <v>4804942.4611172527</v>
      </c>
      <c r="I20" s="140">
        <f t="shared" si="0"/>
        <v>3150279.1964573264</v>
      </c>
      <c r="J20" s="140">
        <f t="shared" si="0"/>
        <v>2741203.6219928893</v>
      </c>
      <c r="K20" s="140">
        <f t="shared" si="0"/>
        <v>2451597.2521947632</v>
      </c>
      <c r="L20" s="140">
        <f t="shared" si="0"/>
        <v>2236633.1006669863</v>
      </c>
      <c r="M20" s="140">
        <f t="shared" si="0"/>
        <v>2071404.1174374784</v>
      </c>
      <c r="N20" s="140">
        <f t="shared" si="0"/>
        <v>1940963.3634116554</v>
      </c>
    </row>
    <row r="21" spans="5:14" x14ac:dyDescent="0.25">
      <c r="E21" s="93">
        <v>12</v>
      </c>
      <c r="F21" s="139">
        <f t="shared" si="1"/>
        <v>155000000</v>
      </c>
      <c r="G21" s="140">
        <f t="shared" si="0"/>
        <v>7116746.4132834245</v>
      </c>
      <c r="H21" s="140">
        <f t="shared" si="0"/>
        <v>4965107.2098211609</v>
      </c>
      <c r="I21" s="140">
        <f t="shared" si="0"/>
        <v>3255288.5030059041</v>
      </c>
      <c r="J21" s="140">
        <f t="shared" si="0"/>
        <v>2832577.0760593191</v>
      </c>
      <c r="K21" s="140">
        <f t="shared" si="0"/>
        <v>2533317.160601255</v>
      </c>
      <c r="L21" s="140">
        <f t="shared" si="0"/>
        <v>2311187.5373558863</v>
      </c>
      <c r="M21" s="140">
        <f t="shared" si="0"/>
        <v>2140450.921352061</v>
      </c>
      <c r="N21" s="140">
        <f t="shared" si="0"/>
        <v>2005662.1421920441</v>
      </c>
    </row>
    <row r="22" spans="5:14" x14ac:dyDescent="0.25">
      <c r="E22" s="93">
        <v>13</v>
      </c>
      <c r="F22" s="139">
        <f t="shared" si="1"/>
        <v>160000000</v>
      </c>
      <c r="G22" s="140">
        <f t="shared" si="0"/>
        <v>7346318.8782280507</v>
      </c>
      <c r="H22" s="140">
        <f t="shared" si="0"/>
        <v>5125271.95852507</v>
      </c>
      <c r="I22" s="140">
        <f t="shared" si="0"/>
        <v>3360297.8095544814</v>
      </c>
      <c r="J22" s="140">
        <f t="shared" si="0"/>
        <v>2923950.5301257488</v>
      </c>
      <c r="K22" s="140">
        <f t="shared" si="0"/>
        <v>2615037.0690077473</v>
      </c>
      <c r="L22" s="140">
        <f t="shared" si="0"/>
        <v>2385741.9740447858</v>
      </c>
      <c r="M22" s="140">
        <f t="shared" si="0"/>
        <v>2209497.7252666433</v>
      </c>
      <c r="N22" s="140">
        <f t="shared" si="0"/>
        <v>2070360.9209724322</v>
      </c>
    </row>
    <row r="23" spans="5:14" x14ac:dyDescent="0.25">
      <c r="E23" s="93">
        <v>14</v>
      </c>
      <c r="F23" s="139">
        <f t="shared" si="1"/>
        <v>165000000</v>
      </c>
      <c r="G23" s="140">
        <f t="shared" si="0"/>
        <v>7575891.3431726769</v>
      </c>
      <c r="H23" s="140">
        <f t="shared" si="0"/>
        <v>5285436.7072289782</v>
      </c>
      <c r="I23" s="140">
        <f t="shared" si="0"/>
        <v>3465307.1161030591</v>
      </c>
      <c r="J23" s="140">
        <f t="shared" si="0"/>
        <v>3015323.9841921786</v>
      </c>
      <c r="K23" s="140">
        <f t="shared" si="0"/>
        <v>2696756.9774142397</v>
      </c>
      <c r="L23" s="140">
        <f t="shared" si="0"/>
        <v>2460296.4107336854</v>
      </c>
      <c r="M23" s="140">
        <f t="shared" si="0"/>
        <v>2278544.5291812262</v>
      </c>
      <c r="N23" s="140">
        <f t="shared" si="0"/>
        <v>2135059.6997528211</v>
      </c>
    </row>
    <row r="24" spans="5:14" x14ac:dyDescent="0.25">
      <c r="E24" s="93">
        <v>15</v>
      </c>
      <c r="F24" s="139">
        <f t="shared" si="1"/>
        <v>170000000</v>
      </c>
      <c r="G24" s="140">
        <f t="shared" si="0"/>
        <v>7805463.8081173031</v>
      </c>
      <c r="H24" s="140">
        <f t="shared" si="0"/>
        <v>5445601.4559328863</v>
      </c>
      <c r="I24" s="140">
        <f t="shared" si="0"/>
        <v>3570316.4226516364</v>
      </c>
      <c r="J24" s="140">
        <f t="shared" si="0"/>
        <v>3106697.4382586083</v>
      </c>
      <c r="K24" s="140">
        <f t="shared" si="0"/>
        <v>2778476.8858207315</v>
      </c>
      <c r="L24" s="140">
        <f t="shared" si="0"/>
        <v>2534850.8474225849</v>
      </c>
      <c r="M24" s="140">
        <f t="shared" si="0"/>
        <v>2347591.3330958085</v>
      </c>
      <c r="N24" s="140">
        <f t="shared" si="0"/>
        <v>2199758.4785332093</v>
      </c>
    </row>
    <row r="25" spans="5:14" x14ac:dyDescent="0.25">
      <c r="E25" s="93">
        <v>16</v>
      </c>
      <c r="F25" s="139">
        <f t="shared" si="1"/>
        <v>175000000</v>
      </c>
      <c r="G25" s="140">
        <f t="shared" si="0"/>
        <v>8035036.2730619302</v>
      </c>
      <c r="H25" s="140">
        <f t="shared" si="0"/>
        <v>5605766.2046367954</v>
      </c>
      <c r="I25" s="140">
        <f t="shared" si="0"/>
        <v>3675325.7292002141</v>
      </c>
      <c r="J25" s="140">
        <f t="shared" si="0"/>
        <v>3198070.8923250381</v>
      </c>
      <c r="K25" s="140">
        <f t="shared" si="0"/>
        <v>2860196.7942272234</v>
      </c>
      <c r="L25" s="140">
        <f t="shared" si="0"/>
        <v>2609405.2841114844</v>
      </c>
      <c r="M25" s="140">
        <f t="shared" si="0"/>
        <v>2416638.1370103913</v>
      </c>
      <c r="N25" s="140">
        <f t="shared" si="0"/>
        <v>2264457.2573135979</v>
      </c>
    </row>
    <row r="26" spans="5:14" x14ac:dyDescent="0.25">
      <c r="E26" s="93">
        <v>17</v>
      </c>
      <c r="F26" s="139">
        <f t="shared" si="1"/>
        <v>180000000</v>
      </c>
      <c r="G26" s="140">
        <f t="shared" ref="G26:N29" si="2">PMT($I$6/12,G$9*12,-$F26)</f>
        <v>8264608.7380065573</v>
      </c>
      <c r="H26" s="140">
        <f t="shared" si="2"/>
        <v>5765930.9533407036</v>
      </c>
      <c r="I26" s="140">
        <f t="shared" si="2"/>
        <v>3780335.0357487919</v>
      </c>
      <c r="J26" s="140">
        <f t="shared" si="2"/>
        <v>3289444.3463914674</v>
      </c>
      <c r="K26" s="140">
        <f t="shared" si="2"/>
        <v>2941916.7026337157</v>
      </c>
      <c r="L26" s="140">
        <f t="shared" si="2"/>
        <v>2683959.7208003839</v>
      </c>
      <c r="M26" s="140">
        <f t="shared" si="2"/>
        <v>2485684.9409249742</v>
      </c>
      <c r="N26" s="140">
        <f t="shared" si="2"/>
        <v>2329156.0360939866</v>
      </c>
    </row>
    <row r="27" spans="5:14" x14ac:dyDescent="0.25">
      <c r="E27" s="93">
        <v>18</v>
      </c>
      <c r="F27" s="139">
        <f t="shared" si="1"/>
        <v>185000000</v>
      </c>
      <c r="G27" s="140">
        <f t="shared" si="2"/>
        <v>8494181.2029511835</v>
      </c>
      <c r="H27" s="140">
        <f t="shared" si="2"/>
        <v>5926095.7020446118</v>
      </c>
      <c r="I27" s="140">
        <f t="shared" si="2"/>
        <v>3885344.3422973691</v>
      </c>
      <c r="J27" s="140">
        <f t="shared" si="2"/>
        <v>3380817.8004578967</v>
      </c>
      <c r="K27" s="140">
        <f t="shared" si="2"/>
        <v>3023636.611040208</v>
      </c>
      <c r="L27" s="140">
        <f t="shared" si="2"/>
        <v>2758514.1574892835</v>
      </c>
      <c r="M27" s="140">
        <f t="shared" si="2"/>
        <v>2554731.7448395565</v>
      </c>
      <c r="N27" s="140">
        <f t="shared" si="2"/>
        <v>2393854.8148743748</v>
      </c>
    </row>
    <row r="28" spans="5:14" x14ac:dyDescent="0.25">
      <c r="E28" s="93">
        <v>19</v>
      </c>
      <c r="F28" s="139">
        <f t="shared" si="1"/>
        <v>190000000</v>
      </c>
      <c r="G28" s="140">
        <f t="shared" si="2"/>
        <v>8723753.6678958088</v>
      </c>
      <c r="H28" s="140">
        <f t="shared" si="2"/>
        <v>6086260.4507485209</v>
      </c>
      <c r="I28" s="140">
        <f t="shared" si="2"/>
        <v>3990353.6488459469</v>
      </c>
      <c r="J28" s="140">
        <f t="shared" si="2"/>
        <v>3472191.2545243264</v>
      </c>
      <c r="K28" s="140">
        <f t="shared" si="2"/>
        <v>3105356.5194466999</v>
      </c>
      <c r="L28" s="140">
        <f t="shared" si="2"/>
        <v>2833068.594178183</v>
      </c>
      <c r="M28" s="140">
        <f t="shared" si="2"/>
        <v>2623778.5487541393</v>
      </c>
      <c r="N28" s="140">
        <f t="shared" si="2"/>
        <v>2458553.5936547634</v>
      </c>
    </row>
    <row r="29" spans="5:14" x14ac:dyDescent="0.25">
      <c r="E29" s="93">
        <v>20</v>
      </c>
      <c r="F29" s="139">
        <f t="shared" si="1"/>
        <v>195000000</v>
      </c>
      <c r="G29" s="140">
        <f t="shared" si="2"/>
        <v>8953326.1328404378</v>
      </c>
      <c r="H29" s="140">
        <f t="shared" si="2"/>
        <v>6246425.1994524281</v>
      </c>
      <c r="I29" s="140">
        <f t="shared" si="2"/>
        <v>4095362.9553945237</v>
      </c>
      <c r="J29" s="140">
        <f t="shared" si="2"/>
        <v>3563564.7085907562</v>
      </c>
      <c r="K29" s="140">
        <f t="shared" si="2"/>
        <v>3187076.4278531922</v>
      </c>
      <c r="L29" s="140">
        <f t="shared" si="2"/>
        <v>2907623.0308670825</v>
      </c>
      <c r="M29" s="140">
        <f t="shared" si="2"/>
        <v>2692825.3526687222</v>
      </c>
      <c r="N29" s="140">
        <f t="shared" si="2"/>
        <v>2523252.3724351521</v>
      </c>
    </row>
    <row r="30" spans="5:14" ht="4.5" customHeight="1" x14ac:dyDescent="0.25"/>
    <row r="31" spans="5:14" x14ac:dyDescent="0.25">
      <c r="E31" s="95"/>
      <c r="F31" s="96" t="s">
        <v>95</v>
      </c>
      <c r="G31" s="96"/>
      <c r="H31" s="96"/>
      <c r="I31" s="96"/>
      <c r="J31" s="96"/>
    </row>
    <row r="32" spans="5:14" ht="19.5" customHeight="1" x14ac:dyDescent="0.25"/>
  </sheetData>
  <mergeCells count="3">
    <mergeCell ref="E8:E9"/>
    <mergeCell ref="F8:F9"/>
    <mergeCell ref="G8:N8"/>
  </mergeCells>
  <conditionalFormatting sqref="G10:N29">
    <cfRule type="cellIs" dxfId="5" priority="1" operator="lessThanOrEqual">
      <formula>$C$8</formula>
    </cfRule>
  </conditionalFormatting>
  <conditionalFormatting sqref="F10:F29">
    <cfRule type="cellIs" dxfId="4" priority="2" operator="equal">
      <formula>$E$18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croll Bar 1">
              <controlPr defaultSize="0" autoPict="0">
                <anchor moveWithCells="1">
                  <from>
                    <xdr:col>1</xdr:col>
                    <xdr:colOff>1809750</xdr:colOff>
                    <xdr:row>6</xdr:row>
                    <xdr:rowOff>28575</xdr:rowOff>
                  </from>
                  <to>
                    <xdr:col>1</xdr:col>
                    <xdr:colOff>2295525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Scroll Bar 2">
              <controlPr defaultSize="0" autoPict="0">
                <anchor moveWithCells="1">
                  <from>
                    <xdr:col>7</xdr:col>
                    <xdr:colOff>85725</xdr:colOff>
                    <xdr:row>3</xdr:row>
                    <xdr:rowOff>38100</xdr:rowOff>
                  </from>
                  <to>
                    <xdr:col>7</xdr:col>
                    <xdr:colOff>571500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Scroll Bar 3">
              <controlPr defaultSize="0" autoPict="0">
                <anchor moveWithCells="1">
                  <from>
                    <xdr:col>7</xdr:col>
                    <xdr:colOff>85725</xdr:colOff>
                    <xdr:row>4</xdr:row>
                    <xdr:rowOff>28575</xdr:rowOff>
                  </from>
                  <to>
                    <xdr:col>7</xdr:col>
                    <xdr:colOff>571500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Scroll Bar 4">
              <controlPr defaultSize="0" autoPict="0">
                <anchor moveWithCells="1">
                  <from>
                    <xdr:col>7</xdr:col>
                    <xdr:colOff>85725</xdr:colOff>
                    <xdr:row>5</xdr:row>
                    <xdr:rowOff>19050</xdr:rowOff>
                  </from>
                  <to>
                    <xdr:col>7</xdr:col>
                    <xdr:colOff>571500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/>
  <dimension ref="B1:M49"/>
  <sheetViews>
    <sheetView showGridLines="0" zoomScale="93" zoomScaleNormal="93" workbookViewId="0">
      <selection activeCell="E13" sqref="E13"/>
    </sheetView>
  </sheetViews>
  <sheetFormatPr defaultRowHeight="15" x14ac:dyDescent="0.25"/>
  <cols>
    <col min="1" max="1" width="5.7109375" style="96" customWidth="1"/>
    <col min="2" max="2" width="5.42578125" style="96" customWidth="1"/>
    <col min="3" max="3" width="20.42578125" style="96" customWidth="1"/>
    <col min="4" max="4" width="13.85546875" style="96" customWidth="1"/>
    <col min="5" max="5" width="15" style="96" customWidth="1"/>
    <col min="6" max="10" width="13.85546875" style="96" customWidth="1"/>
    <col min="11" max="12" width="13.85546875" style="96" hidden="1" customWidth="1"/>
    <col min="13" max="13" width="13.85546875" style="96" customWidth="1"/>
    <col min="14" max="14" width="5.7109375" style="96" customWidth="1"/>
    <col min="15" max="16384" width="9.140625" style="96"/>
  </cols>
  <sheetData>
    <row r="1" spans="2:13" ht="19.5" customHeight="1" x14ac:dyDescent="0.25"/>
    <row r="2" spans="2:13" ht="18.75" x14ac:dyDescent="0.25">
      <c r="B2" s="97" t="s">
        <v>96</v>
      </c>
    </row>
    <row r="3" spans="2:13" ht="16.5" customHeight="1" x14ac:dyDescent="0.25">
      <c r="B3" s="144" t="s">
        <v>97</v>
      </c>
      <c r="C3" s="145"/>
      <c r="D3" s="145"/>
      <c r="E3" s="267">
        <f>F3*10000000</f>
        <v>10000000000</v>
      </c>
      <c r="F3" s="98">
        <v>1000</v>
      </c>
      <c r="H3" s="99">
        <v>4275</v>
      </c>
      <c r="I3" s="98"/>
      <c r="J3" s="98"/>
      <c r="K3" s="98"/>
    </row>
    <row r="4" spans="2:13" ht="16.5" customHeight="1" x14ac:dyDescent="0.25">
      <c r="B4" s="144" t="s">
        <v>98</v>
      </c>
      <c r="C4" s="145"/>
      <c r="D4" s="145"/>
      <c r="E4" s="267">
        <f>F4*1000000</f>
        <v>4000000000</v>
      </c>
      <c r="F4" s="98">
        <v>4000</v>
      </c>
      <c r="H4" s="99">
        <v>0</v>
      </c>
      <c r="I4" s="98"/>
      <c r="J4" s="98"/>
      <c r="K4" s="98"/>
    </row>
    <row r="5" spans="2:13" ht="16.5" customHeight="1" x14ac:dyDescent="0.25">
      <c r="B5" s="144" t="s">
        <v>99</v>
      </c>
      <c r="C5" s="145"/>
      <c r="D5" s="156">
        <f>1-(E4/E3)</f>
        <v>0.6</v>
      </c>
      <c r="E5" s="267">
        <f>E3-E4</f>
        <v>6000000000</v>
      </c>
      <c r="F5" s="98"/>
      <c r="H5" s="99"/>
      <c r="I5" s="98"/>
      <c r="J5" s="98"/>
      <c r="K5" s="98"/>
    </row>
    <row r="6" spans="2:13" ht="16.5" customHeight="1" x14ac:dyDescent="0.25">
      <c r="B6" s="144" t="s">
        <v>91</v>
      </c>
      <c r="C6" s="145"/>
      <c r="D6" s="145"/>
      <c r="E6" s="267">
        <f>F6*1000000</f>
        <v>2500000000</v>
      </c>
      <c r="F6" s="98">
        <v>2500</v>
      </c>
      <c r="H6" s="99"/>
      <c r="I6" s="98"/>
      <c r="J6" s="98"/>
      <c r="K6" s="98"/>
    </row>
    <row r="7" spans="2:13" ht="16.5" customHeight="1" x14ac:dyDescent="0.25">
      <c r="B7" s="147" t="s">
        <v>92</v>
      </c>
      <c r="C7" s="148"/>
      <c r="D7" s="148"/>
      <c r="E7" s="268">
        <f>F7*1000000</f>
        <v>250000000</v>
      </c>
      <c r="F7" s="98">
        <v>250</v>
      </c>
      <c r="H7" s="99">
        <v>250</v>
      </c>
      <c r="I7" s="98"/>
      <c r="J7" s="98"/>
      <c r="K7" s="98"/>
    </row>
    <row r="8" spans="2:13" ht="16.5" customHeight="1" x14ac:dyDescent="0.25">
      <c r="B8" s="100" t="s">
        <v>100</v>
      </c>
      <c r="C8" s="101"/>
      <c r="D8" s="101"/>
      <c r="E8" s="269">
        <f>H8*1000000</f>
        <v>250000000</v>
      </c>
      <c r="F8" s="102"/>
      <c r="H8" s="103">
        <v>250</v>
      </c>
      <c r="I8" s="103"/>
      <c r="J8" s="103"/>
      <c r="K8" s="103"/>
    </row>
    <row r="9" spans="2:13" ht="8.25" customHeight="1" x14ac:dyDescent="0.25">
      <c r="H9" s="104"/>
      <c r="I9" s="104"/>
      <c r="J9" s="104"/>
      <c r="K9" s="104"/>
    </row>
    <row r="10" spans="2:13" ht="16.5" customHeight="1" x14ac:dyDescent="0.25">
      <c r="B10" s="149" t="s">
        <v>101</v>
      </c>
      <c r="C10" s="150"/>
      <c r="D10" s="295" t="s">
        <v>102</v>
      </c>
      <c r="E10" s="296"/>
      <c r="F10" s="297" t="s">
        <v>103</v>
      </c>
      <c r="G10" s="298"/>
      <c r="H10" s="105">
        <v>2</v>
      </c>
      <c r="I10" s="106"/>
      <c r="J10" s="106"/>
      <c r="K10" s="106"/>
    </row>
    <row r="11" spans="2:13" ht="16.5" customHeight="1" x14ac:dyDescent="0.25">
      <c r="B11" s="107" t="s">
        <v>104</v>
      </c>
      <c r="C11" s="108"/>
      <c r="D11" s="154"/>
      <c r="E11" s="155">
        <f>D12/10000</f>
        <v>7.0000000000000007E-2</v>
      </c>
      <c r="F11" s="153"/>
      <c r="G11" s="146">
        <f>F12/10000</f>
        <v>0.10249999999999999</v>
      </c>
      <c r="H11" s="109"/>
      <c r="I11" s="109"/>
      <c r="J11" s="109"/>
      <c r="K11" s="109"/>
    </row>
    <row r="12" spans="2:13" ht="8.25" customHeight="1" x14ac:dyDescent="0.25">
      <c r="D12" s="99">
        <v>700</v>
      </c>
      <c r="E12" s="99">
        <v>15</v>
      </c>
      <c r="F12" s="99">
        <v>1025</v>
      </c>
    </row>
    <row r="13" spans="2:13" ht="15.75" customHeight="1" x14ac:dyDescent="0.25">
      <c r="B13" s="152" t="s">
        <v>105</v>
      </c>
      <c r="C13" s="151"/>
      <c r="D13" s="151"/>
      <c r="E13" s="110">
        <f>VLOOKUP(E12,PINJAM,2)</f>
        <v>6000000000</v>
      </c>
      <c r="F13" s="299" t="s">
        <v>106</v>
      </c>
      <c r="G13" s="299"/>
      <c r="H13" s="299"/>
      <c r="I13" s="299"/>
      <c r="J13" s="111"/>
    </row>
    <row r="14" spans="2:13" ht="20.25" customHeight="1" x14ac:dyDescent="0.25">
      <c r="B14" s="112" t="s">
        <v>107</v>
      </c>
    </row>
    <row r="15" spans="2:13" x14ac:dyDescent="0.25">
      <c r="B15" s="300" t="s">
        <v>19</v>
      </c>
      <c r="C15" s="301" t="s">
        <v>82</v>
      </c>
      <c r="D15" s="302" t="s">
        <v>94</v>
      </c>
      <c r="E15" s="303"/>
      <c r="F15" s="303"/>
      <c r="G15" s="303"/>
      <c r="H15" s="303"/>
      <c r="I15" s="303"/>
      <c r="J15" s="303"/>
      <c r="K15" s="303"/>
      <c r="L15" s="303"/>
      <c r="M15" s="304"/>
    </row>
    <row r="16" spans="2:13" x14ac:dyDescent="0.25">
      <c r="B16" s="300"/>
      <c r="C16" s="301"/>
      <c r="D16" s="113">
        <v>1</v>
      </c>
      <c r="E16" s="114">
        <v>2</v>
      </c>
      <c r="F16" s="114">
        <v>3</v>
      </c>
      <c r="G16" s="114">
        <v>4</v>
      </c>
      <c r="H16" s="114">
        <v>5</v>
      </c>
      <c r="I16" s="114">
        <v>6</v>
      </c>
      <c r="J16" s="114">
        <v>7</v>
      </c>
      <c r="K16" s="114">
        <v>8</v>
      </c>
      <c r="L16" s="114">
        <v>9</v>
      </c>
      <c r="M16" s="114">
        <v>10</v>
      </c>
    </row>
    <row r="17" spans="2:13" ht="13.5" customHeight="1" x14ac:dyDescent="0.25">
      <c r="B17" s="93">
        <v>1</v>
      </c>
      <c r="C17" s="115">
        <f>E6</f>
        <v>2500000000</v>
      </c>
      <c r="D17" s="140">
        <f t="shared" ref="D17:M32" si="0">IF($H$10=1,($C17/(D$16*12))+($C17*$E$11)/12,-PMT($G$11/12,D$16*12,$C17))</f>
        <v>220080506.37846521</v>
      </c>
      <c r="E17" s="140">
        <f t="shared" si="0"/>
        <v>115650996.96904804</v>
      </c>
      <c r="F17" s="140">
        <f t="shared" si="0"/>
        <v>80961720.22082381</v>
      </c>
      <c r="G17" s="140">
        <f t="shared" si="0"/>
        <v>63707032.712669112</v>
      </c>
      <c r="H17" s="140">
        <f t="shared" si="0"/>
        <v>53425659.586450011</v>
      </c>
      <c r="I17" s="140">
        <f t="shared" si="0"/>
        <v>46630390.5902486</v>
      </c>
      <c r="J17" s="140">
        <f t="shared" si="0"/>
        <v>41826608.795666307</v>
      </c>
      <c r="K17" s="140">
        <f t="shared" si="0"/>
        <v>38266923.357036099</v>
      </c>
      <c r="L17" s="140">
        <f t="shared" si="0"/>
        <v>35536047.569066599</v>
      </c>
      <c r="M17" s="140">
        <f t="shared" si="0"/>
        <v>33384750.469194148</v>
      </c>
    </row>
    <row r="18" spans="2:13" ht="13.5" customHeight="1" x14ac:dyDescent="0.25">
      <c r="B18" s="93">
        <v>2</v>
      </c>
      <c r="C18" s="115">
        <f>C17+E$7</f>
        <v>2750000000</v>
      </c>
      <c r="D18" s="140">
        <f t="shared" si="0"/>
        <v>242088557.01631171</v>
      </c>
      <c r="E18" s="140">
        <f t="shared" si="0"/>
        <v>127216096.66595283</v>
      </c>
      <c r="F18" s="140">
        <f t="shared" si="0"/>
        <v>89057892.242906213</v>
      </c>
      <c r="G18" s="140">
        <f t="shared" si="0"/>
        <v>70077735.983936027</v>
      </c>
      <c r="H18" s="140">
        <f t="shared" si="0"/>
        <v>58768225.545095004</v>
      </c>
      <c r="I18" s="140">
        <f t="shared" si="0"/>
        <v>51293429.649273463</v>
      </c>
      <c r="J18" s="140">
        <f t="shared" si="0"/>
        <v>46009269.675232939</v>
      </c>
      <c r="K18" s="140">
        <f t="shared" si="0"/>
        <v>42093615.692739703</v>
      </c>
      <c r="L18" s="140">
        <f t="shared" si="0"/>
        <v>39089652.325973257</v>
      </c>
      <c r="M18" s="140">
        <f t="shared" si="0"/>
        <v>36723225.516113564</v>
      </c>
    </row>
    <row r="19" spans="2:13" x14ac:dyDescent="0.25">
      <c r="B19" s="93">
        <v>3</v>
      </c>
      <c r="C19" s="115">
        <f t="shared" ref="C19:C46" si="1">C18+E$7</f>
        <v>3000000000</v>
      </c>
      <c r="D19" s="140">
        <f t="shared" si="0"/>
        <v>264096607.65415823</v>
      </c>
      <c r="E19" s="140">
        <f t="shared" si="0"/>
        <v>138781196.36285764</v>
      </c>
      <c r="F19" s="140">
        <f t="shared" si="0"/>
        <v>97154064.264988586</v>
      </c>
      <c r="G19" s="140">
        <f t="shared" si="0"/>
        <v>76448439.255202934</v>
      </c>
      <c r="H19" s="140">
        <f t="shared" si="0"/>
        <v>64110791.503740005</v>
      </c>
      <c r="I19" s="140">
        <f t="shared" si="0"/>
        <v>55956468.708298318</v>
      </c>
      <c r="J19" s="140">
        <f t="shared" si="0"/>
        <v>50191930.554799572</v>
      </c>
      <c r="K19" s="140">
        <f t="shared" si="0"/>
        <v>45920308.028443314</v>
      </c>
      <c r="L19" s="140">
        <f t="shared" si="0"/>
        <v>42643257.082879916</v>
      </c>
      <c r="M19" s="140">
        <f t="shared" si="0"/>
        <v>40061700.563032977</v>
      </c>
    </row>
    <row r="20" spans="2:13" x14ac:dyDescent="0.25">
      <c r="B20" s="93">
        <v>4</v>
      </c>
      <c r="C20" s="115">
        <f t="shared" si="1"/>
        <v>3250000000</v>
      </c>
      <c r="D20" s="140">
        <f t="shared" si="0"/>
        <v>286104658.29200476</v>
      </c>
      <c r="E20" s="140">
        <f t="shared" si="0"/>
        <v>150346296.05976245</v>
      </c>
      <c r="F20" s="140">
        <f t="shared" si="0"/>
        <v>105250236.28707096</v>
      </c>
      <c r="G20" s="140">
        <f t="shared" si="0"/>
        <v>82819142.526469842</v>
      </c>
      <c r="H20" s="140">
        <f t="shared" si="0"/>
        <v>69453357.462385014</v>
      </c>
      <c r="I20" s="140">
        <f t="shared" si="0"/>
        <v>60619507.767323181</v>
      </c>
      <c r="J20" s="140">
        <f t="shared" si="0"/>
        <v>54374591.434366196</v>
      </c>
      <c r="K20" s="140">
        <f t="shared" si="0"/>
        <v>49747000.364146918</v>
      </c>
      <c r="L20" s="140">
        <f t="shared" si="0"/>
        <v>46196861.839786574</v>
      </c>
      <c r="M20" s="140">
        <f t="shared" si="0"/>
        <v>43400175.60995239</v>
      </c>
    </row>
    <row r="21" spans="2:13" x14ac:dyDescent="0.25">
      <c r="B21" s="93">
        <v>5</v>
      </c>
      <c r="C21" s="115">
        <f t="shared" si="1"/>
        <v>3500000000</v>
      </c>
      <c r="D21" s="140">
        <f t="shared" si="0"/>
        <v>308112708.92985123</v>
      </c>
      <c r="E21" s="140">
        <f t="shared" si="0"/>
        <v>161911395.75666726</v>
      </c>
      <c r="F21" s="140">
        <f t="shared" si="0"/>
        <v>113346408.30915335</v>
      </c>
      <c r="G21" s="140">
        <f t="shared" si="0"/>
        <v>89189845.797736764</v>
      </c>
      <c r="H21" s="140">
        <f t="shared" si="0"/>
        <v>74795923.421030015</v>
      </c>
      <c r="I21" s="140">
        <f t="shared" si="0"/>
        <v>65282546.826348037</v>
      </c>
      <c r="J21" s="140">
        <f t="shared" si="0"/>
        <v>58557252.313932829</v>
      </c>
      <c r="K21" s="140">
        <f t="shared" si="0"/>
        <v>53573692.699850529</v>
      </c>
      <c r="L21" s="140">
        <f t="shared" si="0"/>
        <v>49750466.59669324</v>
      </c>
      <c r="M21" s="140">
        <f t="shared" si="0"/>
        <v>46738650.656871803</v>
      </c>
    </row>
    <row r="22" spans="2:13" x14ac:dyDescent="0.25">
      <c r="B22" s="93">
        <v>6</v>
      </c>
      <c r="C22" s="115">
        <f t="shared" si="1"/>
        <v>3750000000</v>
      </c>
      <c r="D22" s="140">
        <f t="shared" si="0"/>
        <v>330120759.56769782</v>
      </c>
      <c r="E22" s="140">
        <f t="shared" si="0"/>
        <v>173476495.45357203</v>
      </c>
      <c r="F22" s="140">
        <f t="shared" si="0"/>
        <v>121442580.33123572</v>
      </c>
      <c r="G22" s="140">
        <f t="shared" si="0"/>
        <v>95560549.069003671</v>
      </c>
      <c r="H22" s="140">
        <f t="shared" si="0"/>
        <v>80138489.379675016</v>
      </c>
      <c r="I22" s="140">
        <f t="shared" si="0"/>
        <v>69945585.885372907</v>
      </c>
      <c r="J22" s="140">
        <f t="shared" si="0"/>
        <v>62739913.193499461</v>
      </c>
      <c r="K22" s="140">
        <f t="shared" si="0"/>
        <v>57400385.035554141</v>
      </c>
      <c r="L22" s="140">
        <f t="shared" si="0"/>
        <v>53304071.353599899</v>
      </c>
      <c r="M22" s="140">
        <f t="shared" si="0"/>
        <v>50077125.703791223</v>
      </c>
    </row>
    <row r="23" spans="2:13" x14ac:dyDescent="0.25">
      <c r="B23" s="93">
        <v>7</v>
      </c>
      <c r="C23" s="115">
        <f t="shared" si="1"/>
        <v>4000000000</v>
      </c>
      <c r="D23" s="140">
        <f t="shared" si="0"/>
        <v>352128810.20554429</v>
      </c>
      <c r="E23" s="140">
        <f t="shared" si="0"/>
        <v>185041595.15047687</v>
      </c>
      <c r="F23" s="140">
        <f t="shared" si="0"/>
        <v>129538752.35331811</v>
      </c>
      <c r="G23" s="140">
        <f t="shared" si="0"/>
        <v>101931252.34027058</v>
      </c>
      <c r="H23" s="140">
        <f t="shared" si="0"/>
        <v>85481055.338320017</v>
      </c>
      <c r="I23" s="140">
        <f t="shared" si="0"/>
        <v>74608624.944397762</v>
      </c>
      <c r="J23" s="140">
        <f t="shared" si="0"/>
        <v>66922574.073066093</v>
      </c>
      <c r="K23" s="140">
        <f t="shared" si="0"/>
        <v>61227077.371257745</v>
      </c>
      <c r="L23" s="140">
        <f t="shared" si="0"/>
        <v>56857676.110506557</v>
      </c>
      <c r="M23" s="140">
        <f t="shared" si="0"/>
        <v>53415600.750710629</v>
      </c>
    </row>
    <row r="24" spans="2:13" x14ac:dyDescent="0.25">
      <c r="B24" s="93">
        <v>8</v>
      </c>
      <c r="C24" s="115">
        <f t="shared" si="1"/>
        <v>4250000000</v>
      </c>
      <c r="D24" s="140">
        <f t="shared" si="0"/>
        <v>374136860.84339082</v>
      </c>
      <c r="E24" s="140">
        <f t="shared" si="0"/>
        <v>196606694.84738168</v>
      </c>
      <c r="F24" s="140">
        <f t="shared" si="0"/>
        <v>137634924.37540048</v>
      </c>
      <c r="G24" s="140">
        <f t="shared" si="0"/>
        <v>108301955.6115375</v>
      </c>
      <c r="H24" s="140">
        <f t="shared" si="0"/>
        <v>90823621.296965018</v>
      </c>
      <c r="I24" s="140">
        <f t="shared" si="0"/>
        <v>79271664.003422618</v>
      </c>
      <c r="J24" s="140">
        <f t="shared" si="0"/>
        <v>71105234.952632725</v>
      </c>
      <c r="K24" s="140">
        <f t="shared" si="0"/>
        <v>65053769.706961364</v>
      </c>
      <c r="L24" s="140">
        <f t="shared" si="0"/>
        <v>60411280.867413215</v>
      </c>
      <c r="M24" s="140">
        <f t="shared" si="0"/>
        <v>56754075.797630049</v>
      </c>
    </row>
    <row r="25" spans="2:13" x14ac:dyDescent="0.25">
      <c r="B25" s="93">
        <v>9</v>
      </c>
      <c r="C25" s="115">
        <f t="shared" si="1"/>
        <v>4500000000</v>
      </c>
      <c r="D25" s="140">
        <f t="shared" si="0"/>
        <v>396144911.48123735</v>
      </c>
      <c r="E25" s="140">
        <f t="shared" si="0"/>
        <v>208171794.54428646</v>
      </c>
      <c r="F25" s="140">
        <f t="shared" si="0"/>
        <v>145731096.39748287</v>
      </c>
      <c r="G25" s="140">
        <f t="shared" si="0"/>
        <v>114672658.88280441</v>
      </c>
      <c r="H25" s="140">
        <f t="shared" si="0"/>
        <v>96166187.255610019</v>
      </c>
      <c r="I25" s="140">
        <f t="shared" si="0"/>
        <v>83934703.062447488</v>
      </c>
      <c r="J25" s="140">
        <f t="shared" si="0"/>
        <v>75287895.83219935</v>
      </c>
      <c r="K25" s="140">
        <f t="shared" si="0"/>
        <v>68880462.042664975</v>
      </c>
      <c r="L25" s="140">
        <f t="shared" si="0"/>
        <v>63964885.624319874</v>
      </c>
      <c r="M25" s="140">
        <f t="shared" si="0"/>
        <v>60092550.84454947</v>
      </c>
    </row>
    <row r="26" spans="2:13" x14ac:dyDescent="0.25">
      <c r="B26" s="93">
        <v>10</v>
      </c>
      <c r="C26" s="115">
        <f t="shared" si="1"/>
        <v>4750000000</v>
      </c>
      <c r="D26" s="140">
        <f t="shared" si="0"/>
        <v>418152962.11908388</v>
      </c>
      <c r="E26" s="140">
        <f t="shared" si="0"/>
        <v>219736894.24119127</v>
      </c>
      <c r="F26" s="140">
        <f t="shared" si="0"/>
        <v>153827268.41956526</v>
      </c>
      <c r="G26" s="140">
        <f t="shared" si="0"/>
        <v>121043362.1540713</v>
      </c>
      <c r="H26" s="140">
        <f t="shared" si="0"/>
        <v>101508753.21425502</v>
      </c>
      <c r="I26" s="140">
        <f t="shared" si="0"/>
        <v>88597742.121472329</v>
      </c>
      <c r="J26" s="140">
        <f t="shared" si="0"/>
        <v>79470556.711765975</v>
      </c>
      <c r="K26" s="140">
        <f t="shared" si="0"/>
        <v>72707154.378368571</v>
      </c>
      <c r="L26" s="140">
        <f t="shared" si="0"/>
        <v>67518490.38122654</v>
      </c>
      <c r="M26" s="140">
        <f t="shared" si="0"/>
        <v>63431025.891468883</v>
      </c>
    </row>
    <row r="27" spans="2:13" x14ac:dyDescent="0.25">
      <c r="B27" s="93">
        <v>11</v>
      </c>
      <c r="C27" s="115">
        <f t="shared" si="1"/>
        <v>5000000000</v>
      </c>
      <c r="D27" s="140">
        <f t="shared" si="0"/>
        <v>440161012.75693041</v>
      </c>
      <c r="E27" s="140">
        <f t="shared" si="0"/>
        <v>231301993.93809608</v>
      </c>
      <c r="F27" s="140">
        <f t="shared" si="0"/>
        <v>161923440.44164762</v>
      </c>
      <c r="G27" s="140">
        <f t="shared" si="0"/>
        <v>127414065.42533822</v>
      </c>
      <c r="H27" s="140">
        <f t="shared" si="0"/>
        <v>106851319.17290002</v>
      </c>
      <c r="I27" s="140">
        <f t="shared" si="0"/>
        <v>93260781.180497199</v>
      </c>
      <c r="J27" s="140">
        <f t="shared" si="0"/>
        <v>83653217.591332614</v>
      </c>
      <c r="K27" s="140">
        <f t="shared" si="0"/>
        <v>76533846.714072198</v>
      </c>
      <c r="L27" s="140">
        <f t="shared" si="0"/>
        <v>71072095.138133198</v>
      </c>
      <c r="M27" s="140">
        <f t="shared" si="0"/>
        <v>66769500.938388295</v>
      </c>
    </row>
    <row r="28" spans="2:13" x14ac:dyDescent="0.25">
      <c r="B28" s="93">
        <v>12</v>
      </c>
      <c r="C28" s="115">
        <f t="shared" si="1"/>
        <v>5250000000</v>
      </c>
      <c r="D28" s="140">
        <f t="shared" si="0"/>
        <v>462169063.39477688</v>
      </c>
      <c r="E28" s="140">
        <f t="shared" si="0"/>
        <v>242867093.63500088</v>
      </c>
      <c r="F28" s="140">
        <f t="shared" si="0"/>
        <v>170019612.46373001</v>
      </c>
      <c r="G28" s="140">
        <f t="shared" si="0"/>
        <v>133784768.69660513</v>
      </c>
      <c r="H28" s="140">
        <f t="shared" si="0"/>
        <v>112193885.13154502</v>
      </c>
      <c r="I28" s="140">
        <f t="shared" si="0"/>
        <v>97923820.239522055</v>
      </c>
      <c r="J28" s="140">
        <f t="shared" si="0"/>
        <v>87835878.470899239</v>
      </c>
      <c r="K28" s="140">
        <f t="shared" si="0"/>
        <v>80360539.049775794</v>
      </c>
      <c r="L28" s="140">
        <f t="shared" si="0"/>
        <v>74625699.895039856</v>
      </c>
      <c r="M28" s="140">
        <f t="shared" si="0"/>
        <v>70107975.985307708</v>
      </c>
    </row>
    <row r="29" spans="2:13" x14ac:dyDescent="0.25">
      <c r="B29" s="93">
        <v>13</v>
      </c>
      <c r="C29" s="115">
        <f t="shared" si="1"/>
        <v>5500000000</v>
      </c>
      <c r="D29" s="140">
        <f t="shared" si="0"/>
        <v>484177114.03262341</v>
      </c>
      <c r="E29" s="140">
        <f t="shared" si="0"/>
        <v>254432193.33190566</v>
      </c>
      <c r="F29" s="140">
        <f t="shared" si="0"/>
        <v>178115784.48581243</v>
      </c>
      <c r="G29" s="140">
        <f t="shared" si="0"/>
        <v>140155471.96787205</v>
      </c>
      <c r="H29" s="140">
        <f t="shared" si="0"/>
        <v>117536451.09019001</v>
      </c>
      <c r="I29" s="140">
        <f t="shared" si="0"/>
        <v>102586859.29854693</v>
      </c>
      <c r="J29" s="140">
        <f t="shared" si="0"/>
        <v>92018539.350465879</v>
      </c>
      <c r="K29" s="140">
        <f t="shared" si="0"/>
        <v>84187231.385479406</v>
      </c>
      <c r="L29" s="140">
        <f t="shared" si="0"/>
        <v>78179304.651946515</v>
      </c>
      <c r="M29" s="140">
        <f t="shared" si="0"/>
        <v>73446451.032227129</v>
      </c>
    </row>
    <row r="30" spans="2:13" x14ac:dyDescent="0.25">
      <c r="B30" s="93">
        <v>14</v>
      </c>
      <c r="C30" s="115">
        <f t="shared" si="1"/>
        <v>5750000000</v>
      </c>
      <c r="D30" s="140">
        <f t="shared" si="0"/>
        <v>506185164.67046994</v>
      </c>
      <c r="E30" s="140">
        <f t="shared" si="0"/>
        <v>265997293.02881047</v>
      </c>
      <c r="F30" s="140">
        <f t="shared" si="0"/>
        <v>186211956.50789478</v>
      </c>
      <c r="G30" s="140">
        <f t="shared" si="0"/>
        <v>146526175.23913896</v>
      </c>
      <c r="H30" s="140">
        <f t="shared" si="0"/>
        <v>122879017.04883502</v>
      </c>
      <c r="I30" s="140">
        <f t="shared" si="0"/>
        <v>107249898.35757178</v>
      </c>
      <c r="J30" s="140">
        <f t="shared" si="0"/>
        <v>96201200.230032504</v>
      </c>
      <c r="K30" s="140">
        <f t="shared" si="0"/>
        <v>88013923.721183017</v>
      </c>
      <c r="L30" s="140">
        <f t="shared" si="0"/>
        <v>81732909.408853173</v>
      </c>
      <c r="M30" s="140">
        <f t="shared" si="0"/>
        <v>76784926.079146534</v>
      </c>
    </row>
    <row r="31" spans="2:13" x14ac:dyDescent="0.25">
      <c r="B31" s="93">
        <v>15</v>
      </c>
      <c r="C31" s="115">
        <f t="shared" si="1"/>
        <v>6000000000</v>
      </c>
      <c r="D31" s="140">
        <f t="shared" si="0"/>
        <v>528193215.30831647</v>
      </c>
      <c r="E31" s="140">
        <f t="shared" si="0"/>
        <v>277562392.72571528</v>
      </c>
      <c r="F31" s="140">
        <f t="shared" si="0"/>
        <v>194308128.52997717</v>
      </c>
      <c r="G31" s="140">
        <f t="shared" si="0"/>
        <v>152896878.51040587</v>
      </c>
      <c r="H31" s="140">
        <f t="shared" si="0"/>
        <v>128221583.00748001</v>
      </c>
      <c r="I31" s="140">
        <f t="shared" si="0"/>
        <v>111912937.41659664</v>
      </c>
      <c r="J31" s="140">
        <f t="shared" si="0"/>
        <v>100383861.10959914</v>
      </c>
      <c r="K31" s="140">
        <f t="shared" si="0"/>
        <v>91840616.056886628</v>
      </c>
      <c r="L31" s="140">
        <f t="shared" si="0"/>
        <v>85286514.165759832</v>
      </c>
      <c r="M31" s="140">
        <f t="shared" si="0"/>
        <v>80123401.126065955</v>
      </c>
    </row>
    <row r="32" spans="2:13" x14ac:dyDescent="0.25">
      <c r="B32" s="93">
        <v>16</v>
      </c>
      <c r="C32" s="115">
        <f t="shared" si="1"/>
        <v>6250000000</v>
      </c>
      <c r="D32" s="140">
        <f t="shared" si="0"/>
        <v>550201265.94616306</v>
      </c>
      <c r="E32" s="140">
        <f t="shared" si="0"/>
        <v>289127492.42262012</v>
      </c>
      <c r="F32" s="140">
        <f t="shared" si="0"/>
        <v>202404300.55205956</v>
      </c>
      <c r="G32" s="140">
        <f t="shared" si="0"/>
        <v>159267581.78167278</v>
      </c>
      <c r="H32" s="140">
        <f t="shared" si="0"/>
        <v>133564148.96612503</v>
      </c>
      <c r="I32" s="140">
        <f t="shared" si="0"/>
        <v>116575976.47562151</v>
      </c>
      <c r="J32" s="140">
        <f t="shared" si="0"/>
        <v>104566521.98916577</v>
      </c>
      <c r="K32" s="140">
        <f t="shared" si="0"/>
        <v>95667308.392590225</v>
      </c>
      <c r="L32" s="140">
        <f t="shared" si="0"/>
        <v>88840118.92266649</v>
      </c>
      <c r="M32" s="140">
        <f t="shared" si="0"/>
        <v>83461876.172985375</v>
      </c>
    </row>
    <row r="33" spans="2:13" x14ac:dyDescent="0.25">
      <c r="B33" s="93">
        <v>17</v>
      </c>
      <c r="C33" s="115">
        <f t="shared" si="1"/>
        <v>6500000000</v>
      </c>
      <c r="D33" s="140">
        <f t="shared" ref="D33:M46" si="2">IF($H$10=1,($C33/(D$16*12))+($C33*$E$11)/12,-PMT($G$11/12,D$16*12,$C33))</f>
        <v>572209316.58400953</v>
      </c>
      <c r="E33" s="140">
        <f t="shared" si="2"/>
        <v>300692592.1195249</v>
      </c>
      <c r="F33" s="140">
        <f t="shared" si="2"/>
        <v>210500472.57414192</v>
      </c>
      <c r="G33" s="140">
        <f t="shared" si="2"/>
        <v>165638285.05293968</v>
      </c>
      <c r="H33" s="140">
        <f t="shared" si="2"/>
        <v>138906714.92477003</v>
      </c>
      <c r="I33" s="140">
        <f t="shared" si="2"/>
        <v>121239015.53464636</v>
      </c>
      <c r="J33" s="140">
        <f t="shared" si="2"/>
        <v>108749182.86873239</v>
      </c>
      <c r="K33" s="140">
        <f t="shared" si="2"/>
        <v>99494000.728293836</v>
      </c>
      <c r="L33" s="140">
        <f t="shared" si="2"/>
        <v>92393723.679573148</v>
      </c>
      <c r="M33" s="140">
        <f t="shared" si="2"/>
        <v>86800351.21990478</v>
      </c>
    </row>
    <row r="34" spans="2:13" x14ac:dyDescent="0.25">
      <c r="B34" s="93">
        <v>18</v>
      </c>
      <c r="C34" s="115">
        <f t="shared" si="1"/>
        <v>6750000000</v>
      </c>
      <c r="D34" s="140">
        <f t="shared" si="2"/>
        <v>594217367.221856</v>
      </c>
      <c r="E34" s="140">
        <f t="shared" si="2"/>
        <v>312257691.81642967</v>
      </c>
      <c r="F34" s="140">
        <f t="shared" si="2"/>
        <v>218596644.59622431</v>
      </c>
      <c r="G34" s="140">
        <f t="shared" si="2"/>
        <v>172008988.32420659</v>
      </c>
      <c r="H34" s="140">
        <f t="shared" si="2"/>
        <v>144249280.88341501</v>
      </c>
      <c r="I34" s="140">
        <f t="shared" si="2"/>
        <v>125902054.59367122</v>
      </c>
      <c r="J34" s="140">
        <f t="shared" si="2"/>
        <v>112931843.74829903</v>
      </c>
      <c r="K34" s="140">
        <f t="shared" si="2"/>
        <v>103320693.06399746</v>
      </c>
      <c r="L34" s="140">
        <f t="shared" si="2"/>
        <v>95947328.436479807</v>
      </c>
      <c r="M34" s="140">
        <f t="shared" si="2"/>
        <v>90138826.266824201</v>
      </c>
    </row>
    <row r="35" spans="2:13" x14ac:dyDescent="0.25">
      <c r="B35" s="93">
        <v>19</v>
      </c>
      <c r="C35" s="115">
        <f t="shared" si="1"/>
        <v>7000000000</v>
      </c>
      <c r="D35" s="140">
        <f t="shared" si="2"/>
        <v>616225417.85970247</v>
      </c>
      <c r="E35" s="140">
        <f t="shared" si="2"/>
        <v>323822791.51333451</v>
      </c>
      <c r="F35" s="140">
        <f t="shared" si="2"/>
        <v>226692816.6183067</v>
      </c>
      <c r="G35" s="140">
        <f t="shared" si="2"/>
        <v>178379691.59547353</v>
      </c>
      <c r="H35" s="140">
        <f t="shared" si="2"/>
        <v>149591846.84206003</v>
      </c>
      <c r="I35" s="140">
        <f t="shared" si="2"/>
        <v>130565093.65269607</v>
      </c>
      <c r="J35" s="140">
        <f t="shared" si="2"/>
        <v>117114504.62786566</v>
      </c>
      <c r="K35" s="140">
        <f t="shared" si="2"/>
        <v>107147385.39970106</v>
      </c>
      <c r="L35" s="140">
        <f t="shared" si="2"/>
        <v>99500933.19338648</v>
      </c>
      <c r="M35" s="140">
        <f t="shared" si="2"/>
        <v>93477301.313743606</v>
      </c>
    </row>
    <row r="36" spans="2:13" x14ac:dyDescent="0.25">
      <c r="B36" s="93">
        <v>20</v>
      </c>
      <c r="C36" s="115">
        <f t="shared" si="1"/>
        <v>7250000000</v>
      </c>
      <c r="D36" s="140">
        <f t="shared" si="2"/>
        <v>638233468.49754918</v>
      </c>
      <c r="E36" s="140">
        <f t="shared" si="2"/>
        <v>335387891.21023935</v>
      </c>
      <c r="F36" s="140">
        <f t="shared" si="2"/>
        <v>234788988.64038906</v>
      </c>
      <c r="G36" s="140">
        <f t="shared" si="2"/>
        <v>184750394.86674041</v>
      </c>
      <c r="H36" s="140">
        <f t="shared" si="2"/>
        <v>154934412.80070502</v>
      </c>
      <c r="I36" s="140">
        <f t="shared" si="2"/>
        <v>135228132.71172094</v>
      </c>
      <c r="J36" s="140">
        <f t="shared" si="2"/>
        <v>121297165.5074323</v>
      </c>
      <c r="K36" s="140">
        <f t="shared" si="2"/>
        <v>110974077.73540467</v>
      </c>
      <c r="L36" s="140">
        <f t="shared" si="2"/>
        <v>103054537.95029314</v>
      </c>
      <c r="M36" s="140">
        <f t="shared" si="2"/>
        <v>96815776.360663027</v>
      </c>
    </row>
    <row r="37" spans="2:13" x14ac:dyDescent="0.25">
      <c r="B37" s="93">
        <v>21</v>
      </c>
      <c r="C37" s="115">
        <f t="shared" si="1"/>
        <v>7500000000</v>
      </c>
      <c r="D37" s="140">
        <f t="shared" si="2"/>
        <v>660241519.13539565</v>
      </c>
      <c r="E37" s="140">
        <f t="shared" si="2"/>
        <v>346952990.90714407</v>
      </c>
      <c r="F37" s="140">
        <f t="shared" si="2"/>
        <v>242885160.66247144</v>
      </c>
      <c r="G37" s="140">
        <f t="shared" si="2"/>
        <v>191121098.13800734</v>
      </c>
      <c r="H37" s="140">
        <f t="shared" si="2"/>
        <v>160276978.75935003</v>
      </c>
      <c r="I37" s="140">
        <f t="shared" si="2"/>
        <v>139891171.77074581</v>
      </c>
      <c r="J37" s="140">
        <f t="shared" si="2"/>
        <v>125479826.38699892</v>
      </c>
      <c r="K37" s="140">
        <f t="shared" si="2"/>
        <v>114800770.07110828</v>
      </c>
      <c r="L37" s="140">
        <f t="shared" si="2"/>
        <v>106608142.7071998</v>
      </c>
      <c r="M37" s="140">
        <f t="shared" si="2"/>
        <v>100154251.40758245</v>
      </c>
    </row>
    <row r="38" spans="2:13" x14ac:dyDescent="0.25">
      <c r="B38" s="93">
        <v>22</v>
      </c>
      <c r="C38" s="115">
        <f t="shared" si="1"/>
        <v>7750000000</v>
      </c>
      <c r="D38" s="140">
        <f t="shared" si="2"/>
        <v>682249569.77324212</v>
      </c>
      <c r="E38" s="140">
        <f t="shared" si="2"/>
        <v>358518090.60404891</v>
      </c>
      <c r="F38" s="140">
        <f t="shared" si="2"/>
        <v>250981332.68455386</v>
      </c>
      <c r="G38" s="140">
        <f t="shared" si="2"/>
        <v>197491801.40927425</v>
      </c>
      <c r="H38" s="140">
        <f t="shared" si="2"/>
        <v>165619544.71799502</v>
      </c>
      <c r="I38" s="140">
        <f t="shared" si="2"/>
        <v>144554210.82977065</v>
      </c>
      <c r="J38" s="140">
        <f t="shared" si="2"/>
        <v>129662487.26656556</v>
      </c>
      <c r="K38" s="140">
        <f t="shared" si="2"/>
        <v>118627462.40681189</v>
      </c>
      <c r="L38" s="140">
        <f t="shared" si="2"/>
        <v>110161747.46410646</v>
      </c>
      <c r="M38" s="140">
        <f t="shared" si="2"/>
        <v>103492726.45450185</v>
      </c>
    </row>
    <row r="39" spans="2:13" x14ac:dyDescent="0.25">
      <c r="B39" s="93">
        <v>23</v>
      </c>
      <c r="C39" s="115">
        <f t="shared" si="1"/>
        <v>8000000000</v>
      </c>
      <c r="D39" s="140">
        <f t="shared" si="2"/>
        <v>704257620.41108859</v>
      </c>
      <c r="E39" s="140">
        <f t="shared" si="2"/>
        <v>370083190.30095375</v>
      </c>
      <c r="F39" s="140">
        <f t="shared" si="2"/>
        <v>259077504.70663622</v>
      </c>
      <c r="G39" s="140">
        <f t="shared" si="2"/>
        <v>203862504.68054116</v>
      </c>
      <c r="H39" s="140">
        <f t="shared" si="2"/>
        <v>170962110.67664003</v>
      </c>
      <c r="I39" s="140">
        <f t="shared" si="2"/>
        <v>149217249.88879552</v>
      </c>
      <c r="J39" s="140">
        <f t="shared" si="2"/>
        <v>133845148.14613219</v>
      </c>
      <c r="K39" s="140">
        <f t="shared" si="2"/>
        <v>122454154.74251549</v>
      </c>
      <c r="L39" s="140">
        <f t="shared" si="2"/>
        <v>113715352.22101311</v>
      </c>
      <c r="M39" s="140">
        <f t="shared" si="2"/>
        <v>106831201.50142126</v>
      </c>
    </row>
    <row r="40" spans="2:13" x14ac:dyDescent="0.25">
      <c r="B40" s="93">
        <v>24</v>
      </c>
      <c r="C40" s="115">
        <f t="shared" si="1"/>
        <v>8250000000</v>
      </c>
      <c r="D40" s="140">
        <f t="shared" si="2"/>
        <v>726265671.04893517</v>
      </c>
      <c r="E40" s="140">
        <f t="shared" si="2"/>
        <v>381648289.99785852</v>
      </c>
      <c r="F40" s="140">
        <f t="shared" si="2"/>
        <v>267173676.72871861</v>
      </c>
      <c r="G40" s="140">
        <f t="shared" si="2"/>
        <v>210233207.95180807</v>
      </c>
      <c r="H40" s="140">
        <f t="shared" si="2"/>
        <v>176304676.63528502</v>
      </c>
      <c r="I40" s="140">
        <f t="shared" si="2"/>
        <v>153880288.9478204</v>
      </c>
      <c r="J40" s="140">
        <f t="shared" si="2"/>
        <v>138027809.02569881</v>
      </c>
      <c r="K40" s="140">
        <f t="shared" si="2"/>
        <v>126280847.0782191</v>
      </c>
      <c r="L40" s="140">
        <f t="shared" si="2"/>
        <v>117268956.97791977</v>
      </c>
      <c r="M40" s="140">
        <f t="shared" si="2"/>
        <v>110169676.54834069</v>
      </c>
    </row>
    <row r="41" spans="2:13" x14ac:dyDescent="0.25">
      <c r="B41" s="93">
        <v>25</v>
      </c>
      <c r="C41" s="115">
        <f t="shared" si="1"/>
        <v>8500000000</v>
      </c>
      <c r="D41" s="140">
        <f t="shared" si="2"/>
        <v>748273721.68678164</v>
      </c>
      <c r="E41" s="140">
        <f t="shared" si="2"/>
        <v>393213389.69476336</v>
      </c>
      <c r="F41" s="140">
        <f t="shared" si="2"/>
        <v>275269848.75080097</v>
      </c>
      <c r="G41" s="140">
        <f t="shared" si="2"/>
        <v>216603911.223075</v>
      </c>
      <c r="H41" s="140">
        <f t="shared" si="2"/>
        <v>181647242.59393004</v>
      </c>
      <c r="I41" s="140">
        <f t="shared" si="2"/>
        <v>158543328.00684524</v>
      </c>
      <c r="J41" s="140">
        <f t="shared" si="2"/>
        <v>142210469.90526545</v>
      </c>
      <c r="K41" s="140">
        <f t="shared" si="2"/>
        <v>130107539.41392273</v>
      </c>
      <c r="L41" s="140">
        <f t="shared" si="2"/>
        <v>120822561.73482643</v>
      </c>
      <c r="M41" s="140">
        <f t="shared" si="2"/>
        <v>113508151.5952601</v>
      </c>
    </row>
    <row r="42" spans="2:13" x14ac:dyDescent="0.25">
      <c r="B42" s="93">
        <v>26</v>
      </c>
      <c r="C42" s="115">
        <f t="shared" si="1"/>
        <v>8750000000</v>
      </c>
      <c r="D42" s="140">
        <f t="shared" si="2"/>
        <v>770281772.32462811</v>
      </c>
      <c r="E42" s="140">
        <f t="shared" si="2"/>
        <v>404778489.39166808</v>
      </c>
      <c r="F42" s="140">
        <f t="shared" si="2"/>
        <v>283366020.77288336</v>
      </c>
      <c r="G42" s="140">
        <f t="shared" si="2"/>
        <v>222974614.49434188</v>
      </c>
      <c r="H42" s="140">
        <f t="shared" si="2"/>
        <v>186989808.55257502</v>
      </c>
      <c r="I42" s="140">
        <f t="shared" si="2"/>
        <v>163206367.06587011</v>
      </c>
      <c r="J42" s="140">
        <f t="shared" si="2"/>
        <v>146393130.78483206</v>
      </c>
      <c r="K42" s="140">
        <f t="shared" si="2"/>
        <v>133934231.74962634</v>
      </c>
      <c r="L42" s="140">
        <f t="shared" si="2"/>
        <v>124376166.49173309</v>
      </c>
      <c r="M42" s="140">
        <f t="shared" si="2"/>
        <v>116846626.64217952</v>
      </c>
    </row>
    <row r="43" spans="2:13" x14ac:dyDescent="0.25">
      <c r="B43" s="93">
        <v>27</v>
      </c>
      <c r="C43" s="115">
        <f t="shared" si="1"/>
        <v>9000000000</v>
      </c>
      <c r="D43" s="140">
        <f t="shared" si="2"/>
        <v>792289822.9624747</v>
      </c>
      <c r="E43" s="140">
        <f t="shared" si="2"/>
        <v>416343589.08857292</v>
      </c>
      <c r="F43" s="140">
        <f t="shared" si="2"/>
        <v>291462192.79496574</v>
      </c>
      <c r="G43" s="140">
        <f t="shared" si="2"/>
        <v>229345317.76560882</v>
      </c>
      <c r="H43" s="140">
        <f t="shared" si="2"/>
        <v>192332374.51122004</v>
      </c>
      <c r="I43" s="140">
        <f t="shared" si="2"/>
        <v>167869406.12489498</v>
      </c>
      <c r="J43" s="140">
        <f t="shared" si="2"/>
        <v>150575791.6643987</v>
      </c>
      <c r="K43" s="140">
        <f t="shared" si="2"/>
        <v>137760924.08532995</v>
      </c>
      <c r="L43" s="140">
        <f t="shared" si="2"/>
        <v>127929771.24863975</v>
      </c>
      <c r="M43" s="140">
        <f t="shared" si="2"/>
        <v>120185101.68909894</v>
      </c>
    </row>
    <row r="44" spans="2:13" x14ac:dyDescent="0.25">
      <c r="B44" s="93">
        <v>28</v>
      </c>
      <c r="C44" s="115">
        <f t="shared" si="1"/>
        <v>9250000000</v>
      </c>
      <c r="D44" s="140">
        <f t="shared" si="2"/>
        <v>814297873.60032129</v>
      </c>
      <c r="E44" s="140">
        <f t="shared" si="2"/>
        <v>427908688.78547776</v>
      </c>
      <c r="F44" s="140">
        <f t="shared" si="2"/>
        <v>299558364.81704813</v>
      </c>
      <c r="G44" s="140">
        <f t="shared" si="2"/>
        <v>235716021.03687572</v>
      </c>
      <c r="H44" s="140">
        <f t="shared" si="2"/>
        <v>197674940.46986502</v>
      </c>
      <c r="I44" s="140">
        <f t="shared" si="2"/>
        <v>172532445.18391985</v>
      </c>
      <c r="J44" s="140">
        <f t="shared" si="2"/>
        <v>154758452.54396534</v>
      </c>
      <c r="K44" s="140">
        <f t="shared" si="2"/>
        <v>141587616.42103356</v>
      </c>
      <c r="L44" s="140">
        <f t="shared" si="2"/>
        <v>131483376.00554641</v>
      </c>
      <c r="M44" s="140">
        <f t="shared" si="2"/>
        <v>123523576.73601834</v>
      </c>
    </row>
    <row r="45" spans="2:13" x14ac:dyDescent="0.25">
      <c r="B45" s="93">
        <v>29</v>
      </c>
      <c r="C45" s="115">
        <f t="shared" si="1"/>
        <v>9500000000</v>
      </c>
      <c r="D45" s="140">
        <f t="shared" si="2"/>
        <v>836305924.23816776</v>
      </c>
      <c r="E45" s="140">
        <f t="shared" si="2"/>
        <v>439473788.48238254</v>
      </c>
      <c r="F45" s="140">
        <f t="shared" si="2"/>
        <v>307654536.83913052</v>
      </c>
      <c r="G45" s="140">
        <f t="shared" si="2"/>
        <v>242086724.3081426</v>
      </c>
      <c r="H45" s="140">
        <f t="shared" si="2"/>
        <v>203017506.42851004</v>
      </c>
      <c r="I45" s="140">
        <f t="shared" si="2"/>
        <v>177195484.24294466</v>
      </c>
      <c r="J45" s="140">
        <f t="shared" si="2"/>
        <v>158941113.42353195</v>
      </c>
      <c r="K45" s="140">
        <f t="shared" si="2"/>
        <v>145414308.75673714</v>
      </c>
      <c r="L45" s="140">
        <f t="shared" si="2"/>
        <v>135036980.76245308</v>
      </c>
      <c r="M45" s="140">
        <f t="shared" si="2"/>
        <v>126862051.78293777</v>
      </c>
    </row>
    <row r="46" spans="2:13" x14ac:dyDescent="0.25">
      <c r="B46" s="93">
        <v>30</v>
      </c>
      <c r="C46" s="115">
        <f t="shared" si="1"/>
        <v>9750000000</v>
      </c>
      <c r="D46" s="140">
        <f t="shared" si="2"/>
        <v>858313974.87601423</v>
      </c>
      <c r="E46" s="140">
        <f t="shared" si="2"/>
        <v>451038888.17928731</v>
      </c>
      <c r="F46" s="140">
        <f t="shared" si="2"/>
        <v>315750708.86121291</v>
      </c>
      <c r="G46" s="140">
        <f t="shared" si="2"/>
        <v>248457427.57940954</v>
      </c>
      <c r="H46" s="140">
        <f t="shared" si="2"/>
        <v>208360072.38715503</v>
      </c>
      <c r="I46" s="140">
        <f t="shared" si="2"/>
        <v>181858523.30196953</v>
      </c>
      <c r="J46" s="140">
        <f t="shared" si="2"/>
        <v>163123774.30309859</v>
      </c>
      <c r="K46" s="140">
        <f t="shared" si="2"/>
        <v>149241001.09244078</v>
      </c>
      <c r="L46" s="140">
        <f t="shared" si="2"/>
        <v>138590585.51935974</v>
      </c>
      <c r="M46" s="140">
        <f t="shared" si="2"/>
        <v>130200526.82985717</v>
      </c>
    </row>
    <row r="47" spans="2:13" ht="6.75" customHeight="1" x14ac:dyDescent="0.25"/>
    <row r="48" spans="2:13" x14ac:dyDescent="0.25">
      <c r="B48" s="116"/>
      <c r="C48" s="96" t="s">
        <v>95</v>
      </c>
    </row>
    <row r="49" ht="19.5" customHeight="1" x14ac:dyDescent="0.25"/>
  </sheetData>
  <mergeCells count="6">
    <mergeCell ref="D10:E10"/>
    <mergeCell ref="F10:G10"/>
    <mergeCell ref="F13:I13"/>
    <mergeCell ref="B15:B16"/>
    <mergeCell ref="C15:C16"/>
    <mergeCell ref="D15:M15"/>
  </mergeCells>
  <conditionalFormatting sqref="D17:M46">
    <cfRule type="cellIs" dxfId="3" priority="4" operator="lessThanOrEqual">
      <formula>$E$8</formula>
    </cfRule>
  </conditionalFormatting>
  <conditionalFormatting sqref="B17:C46">
    <cfRule type="expression" dxfId="2" priority="1">
      <formula>$E$13=$C17</formula>
    </cfRule>
  </conditionalFormatting>
  <pageMargins left="0.75" right="0.75" top="1" bottom="1" header="0.5" footer="0.5"/>
  <pageSetup paperSize="9" orientation="portrait" horizontalDpi="4294967293" verticalDpi="0" r:id="rId1"/>
  <headerFooter alignWithMargins="0"/>
  <ignoredErrors>
    <ignoredError sqref="E5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Option Button 1">
              <controlPr defaultSize="0" autoFill="0" autoLine="0" autoPict="0">
                <anchor moveWithCells="1">
                  <from>
                    <xdr:col>3</xdr:col>
                    <xdr:colOff>571500</xdr:colOff>
                    <xdr:row>8</xdr:row>
                    <xdr:rowOff>200025</xdr:rowOff>
                  </from>
                  <to>
                    <xdr:col>3</xdr:col>
                    <xdr:colOff>876300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Option Button 2">
              <controlPr defaultSize="0" autoFill="0" autoLine="0" autoPict="0">
                <anchor moveWithCells="1">
                  <from>
                    <xdr:col>5</xdr:col>
                    <xdr:colOff>504825</xdr:colOff>
                    <xdr:row>8</xdr:row>
                    <xdr:rowOff>200025</xdr:rowOff>
                  </from>
                  <to>
                    <xdr:col>5</xdr:col>
                    <xdr:colOff>809625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Scroll Bar 3">
              <controlPr defaultSize="0" autoPict="0">
                <anchor moveWithCells="1">
                  <from>
                    <xdr:col>3</xdr:col>
                    <xdr:colOff>342900</xdr:colOff>
                    <xdr:row>7</xdr:row>
                    <xdr:rowOff>28575</xdr:rowOff>
                  </from>
                  <to>
                    <xdr:col>3</xdr:col>
                    <xdr:colOff>828675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Scroll Bar 4">
              <controlPr defaultSize="0" autoPict="0">
                <anchor moveWithCells="1">
                  <from>
                    <xdr:col>3</xdr:col>
                    <xdr:colOff>85725</xdr:colOff>
                    <xdr:row>10</xdr:row>
                    <xdr:rowOff>19050</xdr:rowOff>
                  </from>
                  <to>
                    <xdr:col>3</xdr:col>
                    <xdr:colOff>571500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Scroll Bar 5">
              <controlPr defaultSize="0" autoPict="0">
                <anchor moveWithCells="1">
                  <from>
                    <xdr:col>5</xdr:col>
                    <xdr:colOff>85725</xdr:colOff>
                    <xdr:row>10</xdr:row>
                    <xdr:rowOff>19050</xdr:rowOff>
                  </from>
                  <to>
                    <xdr:col>5</xdr:col>
                    <xdr:colOff>571500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Scroll Bar 6">
              <controlPr defaultSize="0" autoPict="0">
                <anchor moveWithCells="1">
                  <from>
                    <xdr:col>3</xdr:col>
                    <xdr:colOff>342900</xdr:colOff>
                    <xdr:row>5</xdr:row>
                    <xdr:rowOff>19050</xdr:rowOff>
                  </from>
                  <to>
                    <xdr:col>3</xdr:col>
                    <xdr:colOff>828675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Scroll Bar 7">
              <controlPr defaultSize="0" autoPict="0">
                <anchor moveWithCells="1">
                  <from>
                    <xdr:col>3</xdr:col>
                    <xdr:colOff>342900</xdr:colOff>
                    <xdr:row>6</xdr:row>
                    <xdr:rowOff>19050</xdr:rowOff>
                  </from>
                  <to>
                    <xdr:col>3</xdr:col>
                    <xdr:colOff>828675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Scroll Bar 8">
              <controlPr defaultSize="0" autoPict="0">
                <anchor moveWithCells="1">
                  <from>
                    <xdr:col>3</xdr:col>
                    <xdr:colOff>342900</xdr:colOff>
                    <xdr:row>3</xdr:row>
                    <xdr:rowOff>19050</xdr:rowOff>
                  </from>
                  <to>
                    <xdr:col>3</xdr:col>
                    <xdr:colOff>828675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Scroll Bar 9">
              <controlPr defaultSize="0" autoPict="0">
                <anchor moveWithCells="1">
                  <from>
                    <xdr:col>3</xdr:col>
                    <xdr:colOff>342900</xdr:colOff>
                    <xdr:row>2</xdr:row>
                    <xdr:rowOff>28575</xdr:rowOff>
                  </from>
                  <to>
                    <xdr:col>3</xdr:col>
                    <xdr:colOff>828675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Scroll Bar 10">
              <controlPr defaultSize="0" autoPict="0">
                <anchor moveWithCells="1">
                  <from>
                    <xdr:col>3</xdr:col>
                    <xdr:colOff>352425</xdr:colOff>
                    <xdr:row>12</xdr:row>
                    <xdr:rowOff>19050</xdr:rowOff>
                  </from>
                  <to>
                    <xdr:col>3</xdr:col>
                    <xdr:colOff>838200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3"/>
  <dimension ref="A1:T74"/>
  <sheetViews>
    <sheetView showGridLines="0" zoomScaleNormal="100" workbookViewId="0">
      <selection activeCell="E5" sqref="E5"/>
    </sheetView>
  </sheetViews>
  <sheetFormatPr defaultRowHeight="15" x14ac:dyDescent="0.25"/>
  <cols>
    <col min="1" max="1" width="5.85546875" style="204" customWidth="1"/>
    <col min="2" max="2" width="5.28515625" style="204" customWidth="1"/>
    <col min="3" max="3" width="19.85546875" style="204" customWidth="1"/>
    <col min="4" max="4" width="15.7109375" style="204" customWidth="1"/>
    <col min="5" max="5" width="17.7109375" style="204" customWidth="1"/>
    <col min="6" max="6" width="15.28515625" style="204" customWidth="1"/>
    <col min="7" max="7" width="16.5703125" style="204" customWidth="1"/>
    <col min="8" max="8" width="18.7109375" style="204" customWidth="1"/>
    <col min="9" max="9" width="5.85546875" style="204" customWidth="1"/>
    <col min="10" max="10" width="9.140625" style="204"/>
    <col min="11" max="13" width="14.7109375" style="204" customWidth="1"/>
    <col min="14" max="14" width="5.85546875" style="204" customWidth="1"/>
    <col min="15" max="15" width="7.85546875" style="204" customWidth="1"/>
    <col min="16" max="16" width="11.85546875" style="204" customWidth="1"/>
    <col min="17" max="17" width="9.140625" style="204"/>
    <col min="18" max="18" width="13.5703125" style="204" bestFit="1" customWidth="1"/>
    <col min="19" max="19" width="10.85546875" style="204" customWidth="1"/>
    <col min="20" max="20" width="11.5703125" style="204" customWidth="1"/>
    <col min="21" max="16384" width="9.140625" style="204"/>
  </cols>
  <sheetData>
    <row r="1" spans="1:19" ht="19.5" customHeight="1" x14ac:dyDescent="0.25">
      <c r="F1" s="205"/>
      <c r="O1" s="206"/>
    </row>
    <row r="2" spans="1:19" ht="18.75" x14ac:dyDescent="0.25">
      <c r="B2" s="207" t="s">
        <v>139</v>
      </c>
    </row>
    <row r="3" spans="1:19" ht="18.75" customHeight="1" x14ac:dyDescent="0.25">
      <c r="A3" s="208">
        <v>2</v>
      </c>
      <c r="B3" s="306" t="s">
        <v>140</v>
      </c>
      <c r="C3" s="306"/>
      <c r="D3" s="306"/>
      <c r="E3" s="306"/>
      <c r="F3" s="306"/>
      <c r="G3" s="306"/>
      <c r="H3" s="306"/>
    </row>
    <row r="4" spans="1:19" ht="16.5" customHeight="1" x14ac:dyDescent="0.25">
      <c r="A4" s="208">
        <v>1500</v>
      </c>
      <c r="B4" s="209" t="str">
        <f>IF(A3=1,"Bunga Pinjaman per Tahun","Margin per Tahun")</f>
        <v>Margin per Tahun</v>
      </c>
      <c r="C4" s="210"/>
      <c r="D4" s="211"/>
      <c r="E4" s="212"/>
      <c r="F4" s="213" t="s">
        <v>73</v>
      </c>
      <c r="G4" s="214"/>
      <c r="H4" s="215">
        <v>60</v>
      </c>
    </row>
    <row r="5" spans="1:19" ht="16.5" customHeight="1" x14ac:dyDescent="0.25">
      <c r="B5" s="216">
        <v>1200</v>
      </c>
      <c r="C5" s="217" t="s">
        <v>77</v>
      </c>
      <c r="D5" s="218">
        <v>1</v>
      </c>
      <c r="E5" s="219">
        <f>B5/10000</f>
        <v>0.12</v>
      </c>
      <c r="F5" s="213" t="s">
        <v>74</v>
      </c>
      <c r="G5" s="214"/>
      <c r="H5" s="220">
        <f>I5*1000000</f>
        <v>500000000</v>
      </c>
      <c r="I5" s="221">
        <v>500</v>
      </c>
      <c r="J5" s="222" t="s">
        <v>112</v>
      </c>
    </row>
    <row r="6" spans="1:19" ht="16.5" customHeight="1" x14ac:dyDescent="0.25">
      <c r="B6" s="223">
        <v>1350</v>
      </c>
      <c r="C6" s="210"/>
      <c r="D6" s="224">
        <v>13</v>
      </c>
      <c r="E6" s="225">
        <f>B6/10000</f>
        <v>0.13500000000000001</v>
      </c>
      <c r="F6" s="213" t="s">
        <v>75</v>
      </c>
      <c r="G6" s="214"/>
      <c r="H6" s="226">
        <f>EOMONTH(43465,I9)</f>
        <v>43496</v>
      </c>
      <c r="J6" s="227" t="s">
        <v>141</v>
      </c>
    </row>
    <row r="7" spans="1:19" ht="16.5" customHeight="1" x14ac:dyDescent="0.25">
      <c r="B7" s="223">
        <v>1475</v>
      </c>
      <c r="C7" s="210"/>
      <c r="D7" s="224">
        <v>25</v>
      </c>
      <c r="E7" s="225">
        <f>B7/10000</f>
        <v>0.14749999999999999</v>
      </c>
      <c r="F7" s="213" t="s">
        <v>142</v>
      </c>
      <c r="G7" s="214"/>
      <c r="H7" s="228">
        <v>20</v>
      </c>
      <c r="I7" s="229">
        <v>2</v>
      </c>
      <c r="K7" s="230" t="s">
        <v>79</v>
      </c>
      <c r="L7" s="307" t="str">
        <f>F12</f>
        <v>Margin</v>
      </c>
      <c r="M7" s="230" t="s">
        <v>81</v>
      </c>
    </row>
    <row r="8" spans="1:19" ht="16.5" customHeight="1" x14ac:dyDescent="0.25">
      <c r="B8" s="223">
        <v>1300</v>
      </c>
      <c r="C8" s="210"/>
      <c r="D8" s="224">
        <v>37</v>
      </c>
      <c r="E8" s="225">
        <f>B8/10000</f>
        <v>0.13</v>
      </c>
      <c r="F8" s="213" t="s">
        <v>143</v>
      </c>
      <c r="G8" s="214"/>
      <c r="H8" s="231">
        <f>IF(A3=1,"Lihat Tabel",G14)</f>
        <v>11122223.842450887</v>
      </c>
      <c r="I8" s="208">
        <v>800</v>
      </c>
      <c r="K8" s="232" t="s">
        <v>82</v>
      </c>
      <c r="L8" s="308"/>
      <c r="M8" s="232" t="s">
        <v>82</v>
      </c>
    </row>
    <row r="9" spans="1:19" ht="16.5" customHeight="1" x14ac:dyDescent="0.25">
      <c r="B9" s="223">
        <v>1175</v>
      </c>
      <c r="C9" s="210"/>
      <c r="D9" s="233">
        <v>49</v>
      </c>
      <c r="E9" s="234">
        <f>B9/10000</f>
        <v>0.11749999999999999</v>
      </c>
      <c r="F9" s="213" t="s">
        <v>144</v>
      </c>
      <c r="G9" s="214"/>
      <c r="H9" s="235">
        <f>DATE(YEAR(EOMONTH(H6,H4-1)),MONTH(EOMONTH(H6,H4-1)),DAY(H7))</f>
        <v>45280</v>
      </c>
      <c r="I9" s="208">
        <v>1</v>
      </c>
      <c r="K9" s="236">
        <f>SUM(K14:K19)+MIN(H14:H73)</f>
        <v>500000000.00000018</v>
      </c>
      <c r="L9" s="237">
        <f>SUM(L14:L19)</f>
        <v>167333430.54705334</v>
      </c>
      <c r="M9" s="236">
        <f>SUM(M14:M19)</f>
        <v>667333430.5470531</v>
      </c>
    </row>
    <row r="10" spans="1:19" s="238" customFormat="1" ht="16.5" customHeight="1" x14ac:dyDescent="0.25"/>
    <row r="11" spans="1:19" x14ac:dyDescent="0.25">
      <c r="A11" s="208"/>
      <c r="B11" s="239" t="s">
        <v>76</v>
      </c>
      <c r="F11" s="240"/>
      <c r="G11" s="240"/>
      <c r="J11" s="227" t="s">
        <v>145</v>
      </c>
      <c r="O11" s="272" t="s">
        <v>155</v>
      </c>
    </row>
    <row r="12" spans="1:19" ht="15.75" thickBot="1" x14ac:dyDescent="0.3">
      <c r="A12" s="208"/>
      <c r="B12" s="309" t="s">
        <v>22</v>
      </c>
      <c r="C12" s="310" t="s">
        <v>77</v>
      </c>
      <c r="D12" s="241" t="s">
        <v>78</v>
      </c>
      <c r="E12" s="241" t="s">
        <v>79</v>
      </c>
      <c r="F12" s="310" t="str">
        <f>IF(A3=1,"Bunga","Margin")</f>
        <v>Margin</v>
      </c>
      <c r="G12" s="310" t="s">
        <v>81</v>
      </c>
      <c r="H12" s="242" t="s">
        <v>14</v>
      </c>
      <c r="J12" s="309" t="s">
        <v>146</v>
      </c>
      <c r="K12" s="241" t="s">
        <v>79</v>
      </c>
      <c r="L12" s="310" t="str">
        <f>F12</f>
        <v>Margin</v>
      </c>
      <c r="M12" s="242" t="s">
        <v>81</v>
      </c>
      <c r="N12" s="271"/>
      <c r="O12" s="270" t="s">
        <v>77</v>
      </c>
      <c r="P12" s="244" t="s">
        <v>147</v>
      </c>
      <c r="Q12" s="244" t="s">
        <v>80</v>
      </c>
      <c r="R12" s="244" t="s">
        <v>82</v>
      </c>
      <c r="S12" s="243" t="s">
        <v>148</v>
      </c>
    </row>
    <row r="13" spans="1:19" x14ac:dyDescent="0.25">
      <c r="A13" s="208"/>
      <c r="B13" s="309"/>
      <c r="C13" s="310"/>
      <c r="D13" s="241" t="s">
        <v>82</v>
      </c>
      <c r="E13" s="241" t="s">
        <v>82</v>
      </c>
      <c r="F13" s="310"/>
      <c r="G13" s="310"/>
      <c r="H13" s="242" t="s">
        <v>82</v>
      </c>
      <c r="J13" s="309"/>
      <c r="K13" s="241" t="s">
        <v>82</v>
      </c>
      <c r="L13" s="310"/>
      <c r="M13" s="242" t="s">
        <v>82</v>
      </c>
      <c r="O13" s="245">
        <f>D5</f>
        <v>1</v>
      </c>
      <c r="P13" s="246">
        <f>H4</f>
        <v>60</v>
      </c>
      <c r="Q13" s="247">
        <f>E5</f>
        <v>0.12</v>
      </c>
      <c r="R13" s="248">
        <f>H5</f>
        <v>500000000</v>
      </c>
      <c r="S13" s="249">
        <f>O13-1</f>
        <v>0</v>
      </c>
    </row>
    <row r="14" spans="1:19" x14ac:dyDescent="0.25">
      <c r="A14" s="208">
        <f t="shared" ref="A14:A73" si="0">IF(B14="","",YEAR(C14))</f>
        <v>2019</v>
      </c>
      <c r="B14" s="250">
        <v>1</v>
      </c>
      <c r="C14" s="251" t="str">
        <f>IF(B14="","",H7&amp;" "&amp;TEXT(H6,"mmmm yyy"))</f>
        <v>20 Januari 2019</v>
      </c>
      <c r="D14" s="240">
        <f>IF(B14="","",H5)</f>
        <v>500000000</v>
      </c>
      <c r="E14" s="240">
        <f t="shared" ref="E14:E45" si="1">IF(B14="","",IF(A$3=1,PPMT((VLOOKUP(B14,RATE,3)/12),B14-VLOOKUP(B14,RATE,5),VLOOKUP(B14,RATE,2),-VLOOKUP(B14,RATE,4)),PPMT(E$5/12,B14,H$4,-H$5)))</f>
        <v>6122223.842450887</v>
      </c>
      <c r="F14" s="240">
        <f t="shared" ref="F14:F45" si="2">IF(B14="","",IF(A$3=1,IPMT(VLOOKUP(B14,RATE,3)/12,B14-VLOOKUP(B14,RATE,5),VLOOKUP(B14,RATE,2),-VLOOKUP(B14,RATE,4)),IPMT(E$5/12,B14,H$4,-H$5)))</f>
        <v>5000000</v>
      </c>
      <c r="G14" s="240">
        <f>IF(B14="","",E14+F14)</f>
        <v>11122223.842450887</v>
      </c>
      <c r="H14" s="240">
        <f>IF(B14="","",D14-E14)</f>
        <v>493877776.15754914</v>
      </c>
      <c r="I14" s="252"/>
      <c r="J14" s="253">
        <f>YEAR(H6)</f>
        <v>2019</v>
      </c>
      <c r="K14" s="254">
        <f t="shared" ref="K14:K19" si="3">IF(J14="","",SUMIF($A$14:$A$73,$J14,E$14:E$73))</f>
        <v>77645122.329349712</v>
      </c>
      <c r="L14" s="254">
        <f t="shared" ref="L14:L19" si="4">IF(J14="","",SUMIF($A$14:$A$73,$J14,F$14:F$73))</f>
        <v>55821563.780060917</v>
      </c>
      <c r="M14" s="254">
        <f t="shared" ref="M14:M19" si="5">IF(J14="","",K14+L14)</f>
        <v>133466686.10941063</v>
      </c>
      <c r="O14" s="255">
        <f>IF(D6&gt;H$4,"",D6)</f>
        <v>13</v>
      </c>
      <c r="P14" s="256">
        <f>IF(O14="","",H$4-O14+1)</f>
        <v>48</v>
      </c>
      <c r="Q14" s="257">
        <f>IF(O14="","",E6)</f>
        <v>0.13500000000000001</v>
      </c>
      <c r="R14" s="258">
        <f>IF(O14="","",VLOOKUP(O14-1,BANK,7))</f>
        <v>422354877.67065042</v>
      </c>
      <c r="S14" s="259">
        <f>IF(O14="","",O14-1)</f>
        <v>12</v>
      </c>
    </row>
    <row r="15" spans="1:19" x14ac:dyDescent="0.25">
      <c r="A15" s="208">
        <f t="shared" si="0"/>
        <v>2019</v>
      </c>
      <c r="B15" s="250">
        <f t="shared" ref="B15:B73" si="6">IF(B14&lt;H$4,B14+1,"")</f>
        <v>2</v>
      </c>
      <c r="C15" s="251">
        <f>IF(B15="","",EDATE(C14,1))</f>
        <v>43516</v>
      </c>
      <c r="D15" s="240">
        <f>IF(B15="","",H14)</f>
        <v>493877776.15754914</v>
      </c>
      <c r="E15" s="240">
        <f t="shared" si="1"/>
        <v>6183446.0808753958</v>
      </c>
      <c r="F15" s="240">
        <f t="shared" si="2"/>
        <v>4938777.7615754912</v>
      </c>
      <c r="G15" s="240">
        <f t="shared" ref="G15:G73" si="7">IF(B15="","",E15+F15)</f>
        <v>11122223.842450887</v>
      </c>
      <c r="H15" s="240">
        <f t="shared" ref="H15:H73" si="8">IF(B15="","",D15-E15)</f>
        <v>487694330.07667375</v>
      </c>
      <c r="I15" s="238"/>
      <c r="J15" s="250">
        <f>IF(J14&lt;YEAR(H$9),J14+1,"")</f>
        <v>2020</v>
      </c>
      <c r="K15" s="240">
        <f t="shared" si="3"/>
        <v>87492467.308369964</v>
      </c>
      <c r="L15" s="240">
        <f t="shared" si="4"/>
        <v>45974218.801040664</v>
      </c>
      <c r="M15" s="240">
        <f t="shared" si="5"/>
        <v>133466686.10941063</v>
      </c>
      <c r="O15" s="255">
        <f>IF(D7&gt;H$4,"",D7)</f>
        <v>25</v>
      </c>
      <c r="P15" s="256">
        <f>IF(O15="","",H$4-O15+1)</f>
        <v>36</v>
      </c>
      <c r="Q15" s="257">
        <f>IF(O15="","",E7)</f>
        <v>0.14749999999999999</v>
      </c>
      <c r="R15" s="258">
        <f>IF(O15="","",VLOOKUP(O15-1,BANK,7))</f>
        <v>334862410.36228055</v>
      </c>
      <c r="S15" s="259">
        <f t="shared" ref="S15:S17" si="9">IF(O15="","",O15-1)</f>
        <v>24</v>
      </c>
    </row>
    <row r="16" spans="1:19" x14ac:dyDescent="0.25">
      <c r="A16" s="208">
        <f t="shared" si="0"/>
        <v>2019</v>
      </c>
      <c r="B16" s="250">
        <f t="shared" si="6"/>
        <v>3</v>
      </c>
      <c r="C16" s="251">
        <f t="shared" ref="C16:C73" si="10">IF(B16="","",EDATE(C15,1))</f>
        <v>43544</v>
      </c>
      <c r="D16" s="240">
        <f t="shared" ref="D16:D73" si="11">IF(B16="","",H15)</f>
        <v>487694330.07667375</v>
      </c>
      <c r="E16" s="240">
        <f t="shared" si="1"/>
        <v>6245280.5416841498</v>
      </c>
      <c r="F16" s="240">
        <f t="shared" si="2"/>
        <v>4876943.3007667363</v>
      </c>
      <c r="G16" s="240">
        <f t="shared" si="7"/>
        <v>11122223.842450887</v>
      </c>
      <c r="H16" s="240">
        <f t="shared" si="8"/>
        <v>481449049.5349896</v>
      </c>
      <c r="I16" s="238"/>
      <c r="J16" s="250">
        <f>IF(J15&lt;YEAR(H$9),J15+1,"")</f>
        <v>2021</v>
      </c>
      <c r="K16" s="240">
        <f t="shared" si="3"/>
        <v>98588702.111074358</v>
      </c>
      <c r="L16" s="240">
        <f t="shared" si="4"/>
        <v>34877983.998336263</v>
      </c>
      <c r="M16" s="240">
        <f t="shared" si="5"/>
        <v>133466686.10941061</v>
      </c>
      <c r="O16" s="255">
        <f>IF(D8&gt;H$4,"",D8)</f>
        <v>37</v>
      </c>
      <c r="P16" s="256">
        <f>IF(O16="","",H$4-O16+1)</f>
        <v>24</v>
      </c>
      <c r="Q16" s="257">
        <f>IF(O16="","",E8)</f>
        <v>0.13</v>
      </c>
      <c r="R16" s="258">
        <f>IF(O16="","",VLOOKUP(O16-1,BANK,7))</f>
        <v>236273708.2512061</v>
      </c>
      <c r="S16" s="259">
        <f t="shared" si="9"/>
        <v>36</v>
      </c>
    </row>
    <row r="17" spans="1:20" ht="15.75" thickBot="1" x14ac:dyDescent="0.3">
      <c r="A17" s="208">
        <f t="shared" si="0"/>
        <v>2019</v>
      </c>
      <c r="B17" s="250">
        <f t="shared" si="6"/>
        <v>4</v>
      </c>
      <c r="C17" s="251">
        <f t="shared" si="10"/>
        <v>43575</v>
      </c>
      <c r="D17" s="240">
        <f t="shared" si="11"/>
        <v>481449049.5349896</v>
      </c>
      <c r="E17" s="240">
        <f t="shared" si="1"/>
        <v>6307733.3471009908</v>
      </c>
      <c r="F17" s="240">
        <f t="shared" si="2"/>
        <v>4814490.4953498952</v>
      </c>
      <c r="G17" s="240">
        <f t="shared" si="7"/>
        <v>11122223.842450887</v>
      </c>
      <c r="H17" s="240">
        <f t="shared" si="8"/>
        <v>475141316.18788862</v>
      </c>
      <c r="I17" s="238"/>
      <c r="J17" s="250">
        <f>IF(J16&lt;YEAR(H$9),J16+1,"")</f>
        <v>2022</v>
      </c>
      <c r="K17" s="240">
        <f t="shared" si="3"/>
        <v>111092217.22698314</v>
      </c>
      <c r="L17" s="240">
        <f t="shared" si="4"/>
        <v>22374468.882427473</v>
      </c>
      <c r="M17" s="240">
        <f t="shared" si="5"/>
        <v>133466686.10941061</v>
      </c>
      <c r="O17" s="260">
        <f>IF(D9&gt;H$4,"",D9)</f>
        <v>49</v>
      </c>
      <c r="P17" s="261">
        <f>IF(O17="","",H$4-O17+1)</f>
        <v>12</v>
      </c>
      <c r="Q17" s="262">
        <f>IF(O17="","",E9)</f>
        <v>0.11749999999999999</v>
      </c>
      <c r="R17" s="263">
        <f>IF(O17="","",VLOOKUP(O17-1,BANK,7))</f>
        <v>125181491.02422293</v>
      </c>
      <c r="S17" s="264">
        <f t="shared" si="9"/>
        <v>48</v>
      </c>
    </row>
    <row r="18" spans="1:20" x14ac:dyDescent="0.25">
      <c r="A18" s="208">
        <f t="shared" si="0"/>
        <v>2019</v>
      </c>
      <c r="B18" s="250">
        <f t="shared" si="6"/>
        <v>5</v>
      </c>
      <c r="C18" s="251">
        <f t="shared" si="10"/>
        <v>43605</v>
      </c>
      <c r="D18" s="240">
        <f t="shared" si="11"/>
        <v>475141316.18788862</v>
      </c>
      <c r="E18" s="240">
        <f t="shared" si="1"/>
        <v>6370810.6805720013</v>
      </c>
      <c r="F18" s="240">
        <f t="shared" si="2"/>
        <v>4751413.1618788848</v>
      </c>
      <c r="G18" s="240">
        <f t="shared" si="7"/>
        <v>11122223.842450887</v>
      </c>
      <c r="H18" s="240">
        <f t="shared" si="8"/>
        <v>468770505.50731665</v>
      </c>
      <c r="I18" s="238"/>
      <c r="J18" s="250">
        <f>IF(J17&lt;YEAR(H$9),J17+1,"")</f>
        <v>2023</v>
      </c>
      <c r="K18" s="240">
        <f t="shared" si="3"/>
        <v>125181491.02422264</v>
      </c>
      <c r="L18" s="240">
        <f t="shared" si="4"/>
        <v>8285195.0851880005</v>
      </c>
      <c r="M18" s="240">
        <f t="shared" si="5"/>
        <v>133466686.10941064</v>
      </c>
    </row>
    <row r="19" spans="1:20" x14ac:dyDescent="0.25">
      <c r="A19" s="208">
        <f t="shared" si="0"/>
        <v>2019</v>
      </c>
      <c r="B19" s="250">
        <f t="shared" si="6"/>
        <v>6</v>
      </c>
      <c r="C19" s="251">
        <f t="shared" si="10"/>
        <v>43636</v>
      </c>
      <c r="D19" s="240">
        <f t="shared" si="11"/>
        <v>468770505.50731665</v>
      </c>
      <c r="E19" s="240">
        <f t="shared" si="1"/>
        <v>6434518.7873777198</v>
      </c>
      <c r="F19" s="240">
        <f t="shared" si="2"/>
        <v>4687705.0550731653</v>
      </c>
      <c r="G19" s="240">
        <f t="shared" si="7"/>
        <v>11122223.842450885</v>
      </c>
      <c r="H19" s="240">
        <f t="shared" si="8"/>
        <v>462335986.71993893</v>
      </c>
      <c r="I19" s="238"/>
      <c r="J19" s="250" t="str">
        <f>IF(J18&lt;YEAR(H$9),J18+1,"")</f>
        <v/>
      </c>
      <c r="K19" s="240" t="str">
        <f t="shared" si="3"/>
        <v/>
      </c>
      <c r="L19" s="240" t="str">
        <f t="shared" si="4"/>
        <v/>
      </c>
      <c r="M19" s="240" t="str">
        <f t="shared" si="5"/>
        <v/>
      </c>
      <c r="O19" s="265" t="s">
        <v>149</v>
      </c>
    </row>
    <row r="20" spans="1:20" x14ac:dyDescent="0.25">
      <c r="A20" s="208">
        <f t="shared" si="0"/>
        <v>2019</v>
      </c>
      <c r="B20" s="250">
        <f t="shared" si="6"/>
        <v>7</v>
      </c>
      <c r="C20" s="251">
        <f t="shared" si="10"/>
        <v>43666</v>
      </c>
      <c r="D20" s="240">
        <f t="shared" si="11"/>
        <v>462335986.71993893</v>
      </c>
      <c r="E20" s="240">
        <f t="shared" si="1"/>
        <v>6498863.9752514986</v>
      </c>
      <c r="F20" s="240">
        <f t="shared" si="2"/>
        <v>4623359.8671993883</v>
      </c>
      <c r="G20" s="240">
        <f t="shared" si="7"/>
        <v>11122223.842450887</v>
      </c>
      <c r="H20" s="240">
        <f t="shared" si="8"/>
        <v>455837122.74468744</v>
      </c>
      <c r="I20" s="238"/>
      <c r="O20" s="266" t="s">
        <v>150</v>
      </c>
    </row>
    <row r="21" spans="1:20" x14ac:dyDescent="0.25">
      <c r="A21" s="208">
        <f t="shared" si="0"/>
        <v>2019</v>
      </c>
      <c r="B21" s="250">
        <f t="shared" si="6"/>
        <v>8</v>
      </c>
      <c r="C21" s="251">
        <f t="shared" si="10"/>
        <v>43697</v>
      </c>
      <c r="D21" s="240">
        <f t="shared" si="11"/>
        <v>455837122.74468744</v>
      </c>
      <c r="E21" s="240">
        <f t="shared" si="1"/>
        <v>6563852.6150040124</v>
      </c>
      <c r="F21" s="240">
        <f t="shared" si="2"/>
        <v>4558371.2274468727</v>
      </c>
      <c r="G21" s="240">
        <f t="shared" si="7"/>
        <v>11122223.842450885</v>
      </c>
      <c r="H21" s="240">
        <f t="shared" si="8"/>
        <v>449273270.12968343</v>
      </c>
      <c r="I21" s="238"/>
      <c r="O21" s="266" t="s">
        <v>151</v>
      </c>
    </row>
    <row r="22" spans="1:20" x14ac:dyDescent="0.25">
      <c r="A22" s="208">
        <f t="shared" si="0"/>
        <v>2019</v>
      </c>
      <c r="B22" s="250">
        <f t="shared" si="6"/>
        <v>9</v>
      </c>
      <c r="C22" s="251">
        <f t="shared" si="10"/>
        <v>43728</v>
      </c>
      <c r="D22" s="240">
        <f t="shared" si="11"/>
        <v>449273270.12968343</v>
      </c>
      <c r="E22" s="240">
        <f t="shared" si="1"/>
        <v>6629491.1411540536</v>
      </c>
      <c r="F22" s="240">
        <f t="shared" si="2"/>
        <v>4492732.7012968343</v>
      </c>
      <c r="G22" s="240">
        <f t="shared" si="7"/>
        <v>11122223.842450887</v>
      </c>
      <c r="H22" s="240">
        <f t="shared" si="8"/>
        <v>442643778.98852938</v>
      </c>
      <c r="I22" s="238"/>
      <c r="O22" s="266" t="s">
        <v>152</v>
      </c>
    </row>
    <row r="23" spans="1:20" x14ac:dyDescent="0.25">
      <c r="A23" s="208">
        <f t="shared" si="0"/>
        <v>2019</v>
      </c>
      <c r="B23" s="250">
        <f t="shared" si="6"/>
        <v>10</v>
      </c>
      <c r="C23" s="251">
        <f t="shared" si="10"/>
        <v>43758</v>
      </c>
      <c r="D23" s="240">
        <f t="shared" si="11"/>
        <v>442643778.98852938</v>
      </c>
      <c r="E23" s="240">
        <f t="shared" si="1"/>
        <v>6695786.0525655923</v>
      </c>
      <c r="F23" s="240">
        <f t="shared" si="2"/>
        <v>4426437.7898852928</v>
      </c>
      <c r="G23" s="240">
        <f t="shared" si="7"/>
        <v>11122223.842450885</v>
      </c>
      <c r="H23" s="240">
        <f t="shared" si="8"/>
        <v>435947992.93596381</v>
      </c>
      <c r="I23" s="238"/>
      <c r="O23" s="305" t="s">
        <v>153</v>
      </c>
      <c r="P23" s="305"/>
      <c r="Q23" s="305"/>
      <c r="R23" s="305"/>
      <c r="S23" s="305"/>
      <c r="T23" s="305"/>
    </row>
    <row r="24" spans="1:20" x14ac:dyDescent="0.25">
      <c r="A24" s="208">
        <f t="shared" si="0"/>
        <v>2019</v>
      </c>
      <c r="B24" s="250">
        <f t="shared" si="6"/>
        <v>11</v>
      </c>
      <c r="C24" s="251">
        <f t="shared" si="10"/>
        <v>43789</v>
      </c>
      <c r="D24" s="240">
        <f t="shared" si="11"/>
        <v>435947992.93596381</v>
      </c>
      <c r="E24" s="240">
        <f t="shared" si="1"/>
        <v>6762743.9130912498</v>
      </c>
      <c r="F24" s="240">
        <f t="shared" si="2"/>
        <v>4359479.9293596372</v>
      </c>
      <c r="G24" s="240">
        <f t="shared" si="7"/>
        <v>11122223.842450887</v>
      </c>
      <c r="H24" s="240">
        <f t="shared" si="8"/>
        <v>429185249.02287257</v>
      </c>
      <c r="I24" s="238"/>
      <c r="O24" s="305"/>
      <c r="P24" s="305"/>
      <c r="Q24" s="305"/>
      <c r="R24" s="305"/>
      <c r="S24" s="305"/>
      <c r="T24" s="305"/>
    </row>
    <row r="25" spans="1:20" x14ac:dyDescent="0.25">
      <c r="A25" s="208">
        <f t="shared" si="0"/>
        <v>2019</v>
      </c>
      <c r="B25" s="250">
        <f t="shared" si="6"/>
        <v>12</v>
      </c>
      <c r="C25" s="251">
        <f t="shared" si="10"/>
        <v>43819</v>
      </c>
      <c r="D25" s="240">
        <f t="shared" si="11"/>
        <v>429185249.02287257</v>
      </c>
      <c r="E25" s="240">
        <f t="shared" si="1"/>
        <v>6830371.3522221614</v>
      </c>
      <c r="F25" s="240">
        <f t="shared" si="2"/>
        <v>4291852.4902287247</v>
      </c>
      <c r="G25" s="240">
        <f t="shared" si="7"/>
        <v>11122223.842450887</v>
      </c>
      <c r="H25" s="240">
        <f t="shared" si="8"/>
        <v>422354877.67065042</v>
      </c>
      <c r="I25" s="238"/>
      <c r="O25" s="305" t="s">
        <v>154</v>
      </c>
      <c r="P25" s="305"/>
      <c r="Q25" s="305"/>
      <c r="R25" s="305"/>
      <c r="S25" s="305"/>
      <c r="T25" s="305"/>
    </row>
    <row r="26" spans="1:20" x14ac:dyDescent="0.25">
      <c r="A26" s="208">
        <f t="shared" si="0"/>
        <v>2020</v>
      </c>
      <c r="B26" s="250">
        <f t="shared" si="6"/>
        <v>13</v>
      </c>
      <c r="C26" s="251">
        <f t="shared" si="10"/>
        <v>43850</v>
      </c>
      <c r="D26" s="240">
        <f t="shared" si="11"/>
        <v>422354877.67065042</v>
      </c>
      <c r="E26" s="240">
        <f t="shared" si="1"/>
        <v>6898675.0657443851</v>
      </c>
      <c r="F26" s="240">
        <f t="shared" si="2"/>
        <v>4223548.7767065028</v>
      </c>
      <c r="G26" s="240">
        <f t="shared" si="7"/>
        <v>11122223.842450887</v>
      </c>
      <c r="H26" s="240">
        <f t="shared" si="8"/>
        <v>415456202.60490602</v>
      </c>
      <c r="I26" s="238"/>
      <c r="O26" s="305"/>
      <c r="P26" s="305"/>
      <c r="Q26" s="305"/>
      <c r="R26" s="305"/>
      <c r="S26" s="305"/>
      <c r="T26" s="305"/>
    </row>
    <row r="27" spans="1:20" x14ac:dyDescent="0.25">
      <c r="A27" s="208">
        <f t="shared" si="0"/>
        <v>2020</v>
      </c>
      <c r="B27" s="250">
        <f t="shared" si="6"/>
        <v>14</v>
      </c>
      <c r="C27" s="251">
        <f t="shared" si="10"/>
        <v>43881</v>
      </c>
      <c r="D27" s="240">
        <f t="shared" si="11"/>
        <v>415456202.60490602</v>
      </c>
      <c r="E27" s="240">
        <f t="shared" si="1"/>
        <v>6967661.816401829</v>
      </c>
      <c r="F27" s="240">
        <f t="shared" si="2"/>
        <v>4154562.0260490584</v>
      </c>
      <c r="G27" s="240">
        <f t="shared" si="7"/>
        <v>11122223.842450887</v>
      </c>
      <c r="H27" s="240">
        <f t="shared" si="8"/>
        <v>408488540.78850418</v>
      </c>
      <c r="I27" s="238"/>
      <c r="O27" s="305"/>
      <c r="P27" s="305"/>
      <c r="Q27" s="305"/>
      <c r="R27" s="305"/>
      <c r="S27" s="305"/>
      <c r="T27" s="305"/>
    </row>
    <row r="28" spans="1:20" x14ac:dyDescent="0.25">
      <c r="A28" s="208">
        <f t="shared" si="0"/>
        <v>2020</v>
      </c>
      <c r="B28" s="250">
        <f t="shared" si="6"/>
        <v>15</v>
      </c>
      <c r="C28" s="251">
        <f t="shared" si="10"/>
        <v>43910</v>
      </c>
      <c r="D28" s="240">
        <f t="shared" si="11"/>
        <v>408488540.78850418</v>
      </c>
      <c r="E28" s="240">
        <f t="shared" si="1"/>
        <v>7037338.4345658459</v>
      </c>
      <c r="F28" s="240">
        <f t="shared" si="2"/>
        <v>4084885.4078850397</v>
      </c>
      <c r="G28" s="240">
        <f t="shared" si="7"/>
        <v>11122223.842450885</v>
      </c>
      <c r="H28" s="240">
        <f t="shared" si="8"/>
        <v>401451202.35393834</v>
      </c>
      <c r="I28" s="238"/>
    </row>
    <row r="29" spans="1:20" x14ac:dyDescent="0.25">
      <c r="A29" s="208">
        <f t="shared" si="0"/>
        <v>2020</v>
      </c>
      <c r="B29" s="250">
        <f t="shared" si="6"/>
        <v>16</v>
      </c>
      <c r="C29" s="251">
        <f t="shared" si="10"/>
        <v>43941</v>
      </c>
      <c r="D29" s="240">
        <f t="shared" si="11"/>
        <v>401451202.35393834</v>
      </c>
      <c r="E29" s="240">
        <f t="shared" si="1"/>
        <v>7107711.818911504</v>
      </c>
      <c r="F29" s="240">
        <f t="shared" si="2"/>
        <v>4014512.0235393811</v>
      </c>
      <c r="G29" s="240">
        <f t="shared" si="7"/>
        <v>11122223.842450885</v>
      </c>
      <c r="H29" s="240">
        <f t="shared" si="8"/>
        <v>394343490.53502685</v>
      </c>
      <c r="I29" s="238"/>
    </row>
    <row r="30" spans="1:20" x14ac:dyDescent="0.25">
      <c r="A30" s="208">
        <f t="shared" si="0"/>
        <v>2020</v>
      </c>
      <c r="B30" s="250">
        <f t="shared" si="6"/>
        <v>17</v>
      </c>
      <c r="C30" s="251">
        <f t="shared" si="10"/>
        <v>43971</v>
      </c>
      <c r="D30" s="240">
        <f t="shared" si="11"/>
        <v>394343490.53502685</v>
      </c>
      <c r="E30" s="240">
        <f t="shared" si="1"/>
        <v>7178788.9371006191</v>
      </c>
      <c r="F30" s="240">
        <f t="shared" si="2"/>
        <v>3943434.905350267</v>
      </c>
      <c r="G30" s="240">
        <f t="shared" si="7"/>
        <v>11122223.842450887</v>
      </c>
      <c r="H30" s="240">
        <f t="shared" si="8"/>
        <v>387164701.59792626</v>
      </c>
      <c r="I30" s="238"/>
    </row>
    <row r="31" spans="1:20" x14ac:dyDescent="0.25">
      <c r="A31" s="208">
        <f t="shared" si="0"/>
        <v>2020</v>
      </c>
      <c r="B31" s="250">
        <f t="shared" si="6"/>
        <v>18</v>
      </c>
      <c r="C31" s="251">
        <f t="shared" si="10"/>
        <v>44002</v>
      </c>
      <c r="D31" s="240">
        <f t="shared" si="11"/>
        <v>387164701.59792626</v>
      </c>
      <c r="E31" s="240">
        <f t="shared" si="1"/>
        <v>7250576.8264716258</v>
      </c>
      <c r="F31" s="240">
        <f t="shared" si="2"/>
        <v>3871647.0159792597</v>
      </c>
      <c r="G31" s="240">
        <f t="shared" si="7"/>
        <v>11122223.842450885</v>
      </c>
      <c r="H31" s="240">
        <f t="shared" si="8"/>
        <v>379914124.77145463</v>
      </c>
      <c r="I31" s="238"/>
    </row>
    <row r="32" spans="1:20" x14ac:dyDescent="0.25">
      <c r="A32" s="208">
        <f t="shared" si="0"/>
        <v>2020</v>
      </c>
      <c r="B32" s="250">
        <f t="shared" si="6"/>
        <v>19</v>
      </c>
      <c r="C32" s="251">
        <f t="shared" si="10"/>
        <v>44032</v>
      </c>
      <c r="D32" s="240">
        <f t="shared" si="11"/>
        <v>379914124.77145463</v>
      </c>
      <c r="E32" s="240">
        <f t="shared" si="1"/>
        <v>7323082.5947363414</v>
      </c>
      <c r="F32" s="240">
        <f t="shared" si="2"/>
        <v>3799141.2477145442</v>
      </c>
      <c r="G32" s="240">
        <f t="shared" si="7"/>
        <v>11122223.842450885</v>
      </c>
      <c r="H32" s="240">
        <f t="shared" si="8"/>
        <v>372591042.17671829</v>
      </c>
      <c r="I32" s="238"/>
    </row>
    <row r="33" spans="1:9" x14ac:dyDescent="0.25">
      <c r="A33" s="208">
        <f t="shared" si="0"/>
        <v>2020</v>
      </c>
      <c r="B33" s="250">
        <f t="shared" si="6"/>
        <v>20</v>
      </c>
      <c r="C33" s="251">
        <f t="shared" si="10"/>
        <v>44063</v>
      </c>
      <c r="D33" s="240">
        <f t="shared" si="11"/>
        <v>372591042.17671829</v>
      </c>
      <c r="E33" s="240">
        <f t="shared" si="1"/>
        <v>7396313.4206837062</v>
      </c>
      <c r="F33" s="240">
        <f t="shared" si="2"/>
        <v>3725910.4217671813</v>
      </c>
      <c r="G33" s="240">
        <f t="shared" si="7"/>
        <v>11122223.842450887</v>
      </c>
      <c r="H33" s="240">
        <f t="shared" si="8"/>
        <v>365194728.75603461</v>
      </c>
      <c r="I33" s="238"/>
    </row>
    <row r="34" spans="1:9" x14ac:dyDescent="0.25">
      <c r="A34" s="208">
        <f t="shared" si="0"/>
        <v>2020</v>
      </c>
      <c r="B34" s="250">
        <f t="shared" si="6"/>
        <v>21</v>
      </c>
      <c r="C34" s="251">
        <f t="shared" si="10"/>
        <v>44094</v>
      </c>
      <c r="D34" s="240">
        <f t="shared" si="11"/>
        <v>365194728.75603461</v>
      </c>
      <c r="E34" s="240">
        <f t="shared" si="1"/>
        <v>7470276.5548905423</v>
      </c>
      <c r="F34" s="240">
        <f t="shared" si="2"/>
        <v>3651947.2875603433</v>
      </c>
      <c r="G34" s="240">
        <f t="shared" si="7"/>
        <v>11122223.842450885</v>
      </c>
      <c r="H34" s="240">
        <f t="shared" si="8"/>
        <v>357724452.2011441</v>
      </c>
      <c r="I34" s="238"/>
    </row>
    <row r="35" spans="1:9" x14ac:dyDescent="0.25">
      <c r="A35" s="208">
        <f t="shared" si="0"/>
        <v>2020</v>
      </c>
      <c r="B35" s="250">
        <f t="shared" si="6"/>
        <v>22</v>
      </c>
      <c r="C35" s="251">
        <f t="shared" si="10"/>
        <v>44124</v>
      </c>
      <c r="D35" s="240">
        <f t="shared" si="11"/>
        <v>357724452.2011441</v>
      </c>
      <c r="E35" s="240">
        <f t="shared" si="1"/>
        <v>7544979.3204394486</v>
      </c>
      <c r="F35" s="240">
        <f t="shared" si="2"/>
        <v>3577244.5220114379</v>
      </c>
      <c r="G35" s="240">
        <f t="shared" si="7"/>
        <v>11122223.842450887</v>
      </c>
      <c r="H35" s="240">
        <f t="shared" si="8"/>
        <v>350179472.88070464</v>
      </c>
      <c r="I35" s="238"/>
    </row>
    <row r="36" spans="1:9" x14ac:dyDescent="0.25">
      <c r="A36" s="208">
        <f t="shared" si="0"/>
        <v>2020</v>
      </c>
      <c r="B36" s="250">
        <f t="shared" si="6"/>
        <v>23</v>
      </c>
      <c r="C36" s="251">
        <f t="shared" si="10"/>
        <v>44155</v>
      </c>
      <c r="D36" s="240">
        <f t="shared" si="11"/>
        <v>350179472.88070464</v>
      </c>
      <c r="E36" s="240">
        <f t="shared" si="1"/>
        <v>7620429.1136438427</v>
      </c>
      <c r="F36" s="240">
        <f t="shared" si="2"/>
        <v>3501794.7288070433</v>
      </c>
      <c r="G36" s="240">
        <f t="shared" si="7"/>
        <v>11122223.842450887</v>
      </c>
      <c r="H36" s="240">
        <f t="shared" si="8"/>
        <v>342559043.76706082</v>
      </c>
      <c r="I36" s="238"/>
    </row>
    <row r="37" spans="1:9" x14ac:dyDescent="0.25">
      <c r="A37" s="208">
        <f t="shared" si="0"/>
        <v>2020</v>
      </c>
      <c r="B37" s="250">
        <f t="shared" si="6"/>
        <v>24</v>
      </c>
      <c r="C37" s="251">
        <f t="shared" si="10"/>
        <v>44185</v>
      </c>
      <c r="D37" s="240">
        <f t="shared" si="11"/>
        <v>342559043.76706082</v>
      </c>
      <c r="E37" s="240">
        <f t="shared" si="1"/>
        <v>7696633.4047802808</v>
      </c>
      <c r="F37" s="240">
        <f t="shared" si="2"/>
        <v>3425590.4376706053</v>
      </c>
      <c r="G37" s="240">
        <f t="shared" si="7"/>
        <v>11122223.842450887</v>
      </c>
      <c r="H37" s="240">
        <f t="shared" si="8"/>
        <v>334862410.36228055</v>
      </c>
      <c r="I37" s="238"/>
    </row>
    <row r="38" spans="1:9" x14ac:dyDescent="0.25">
      <c r="A38" s="208">
        <f t="shared" si="0"/>
        <v>2021</v>
      </c>
      <c r="B38" s="250">
        <f t="shared" si="6"/>
        <v>25</v>
      </c>
      <c r="C38" s="251">
        <f t="shared" si="10"/>
        <v>44216</v>
      </c>
      <c r="D38" s="240">
        <f t="shared" si="11"/>
        <v>334862410.36228055</v>
      </c>
      <c r="E38" s="240">
        <f t="shared" si="1"/>
        <v>7773599.7388280835</v>
      </c>
      <c r="F38" s="240">
        <f t="shared" si="2"/>
        <v>3348624.1036228021</v>
      </c>
      <c r="G38" s="240">
        <f t="shared" si="7"/>
        <v>11122223.842450885</v>
      </c>
      <c r="H38" s="240">
        <f t="shared" si="8"/>
        <v>327088810.62345248</v>
      </c>
      <c r="I38" s="238"/>
    </row>
    <row r="39" spans="1:9" x14ac:dyDescent="0.25">
      <c r="A39" s="208">
        <f t="shared" si="0"/>
        <v>2021</v>
      </c>
      <c r="B39" s="250">
        <f t="shared" si="6"/>
        <v>26</v>
      </c>
      <c r="C39" s="251">
        <f t="shared" si="10"/>
        <v>44247</v>
      </c>
      <c r="D39" s="240">
        <f t="shared" si="11"/>
        <v>327088810.62345248</v>
      </c>
      <c r="E39" s="240">
        <f t="shared" si="1"/>
        <v>7851335.7362163644</v>
      </c>
      <c r="F39" s="240">
        <f t="shared" si="2"/>
        <v>3270888.1062345211</v>
      </c>
      <c r="G39" s="240">
        <f t="shared" si="7"/>
        <v>11122223.842450885</v>
      </c>
      <c r="H39" s="240">
        <f t="shared" si="8"/>
        <v>319237474.88723612</v>
      </c>
      <c r="I39" s="238"/>
    </row>
    <row r="40" spans="1:9" x14ac:dyDescent="0.25">
      <c r="A40" s="208">
        <f t="shared" si="0"/>
        <v>2021</v>
      </c>
      <c r="B40" s="250">
        <f t="shared" si="6"/>
        <v>27</v>
      </c>
      <c r="C40" s="251">
        <f t="shared" si="10"/>
        <v>44275</v>
      </c>
      <c r="D40" s="240">
        <f t="shared" si="11"/>
        <v>319237474.88723612</v>
      </c>
      <c r="E40" s="240">
        <f t="shared" si="1"/>
        <v>7929849.0935785286</v>
      </c>
      <c r="F40" s="240">
        <f t="shared" si="2"/>
        <v>3192374.7488723584</v>
      </c>
      <c r="G40" s="240">
        <f t="shared" si="7"/>
        <v>11122223.842450887</v>
      </c>
      <c r="H40" s="240">
        <f t="shared" si="8"/>
        <v>311307625.7936576</v>
      </c>
      <c r="I40" s="238"/>
    </row>
    <row r="41" spans="1:9" x14ac:dyDescent="0.25">
      <c r="A41" s="208">
        <f t="shared" si="0"/>
        <v>2021</v>
      </c>
      <c r="B41" s="250">
        <f t="shared" si="6"/>
        <v>28</v>
      </c>
      <c r="C41" s="251">
        <f t="shared" si="10"/>
        <v>44306</v>
      </c>
      <c r="D41" s="240">
        <f t="shared" si="11"/>
        <v>311307625.7936576</v>
      </c>
      <c r="E41" s="240">
        <f t="shared" si="1"/>
        <v>8009147.5845143124</v>
      </c>
      <c r="F41" s="240">
        <f t="shared" si="2"/>
        <v>3113076.2579365727</v>
      </c>
      <c r="G41" s="240">
        <f t="shared" si="7"/>
        <v>11122223.842450885</v>
      </c>
      <c r="H41" s="240">
        <f t="shared" si="8"/>
        <v>303298478.20914328</v>
      </c>
      <c r="I41" s="238"/>
    </row>
    <row r="42" spans="1:9" x14ac:dyDescent="0.25">
      <c r="A42" s="208">
        <f t="shared" si="0"/>
        <v>2021</v>
      </c>
      <c r="B42" s="250">
        <f t="shared" si="6"/>
        <v>29</v>
      </c>
      <c r="C42" s="251">
        <f t="shared" si="10"/>
        <v>44336</v>
      </c>
      <c r="D42" s="240">
        <f t="shared" si="11"/>
        <v>303298478.20914328</v>
      </c>
      <c r="E42" s="240">
        <f t="shared" si="1"/>
        <v>8089239.0603594566</v>
      </c>
      <c r="F42" s="240">
        <f t="shared" si="2"/>
        <v>3032984.7820914295</v>
      </c>
      <c r="G42" s="240">
        <f t="shared" si="7"/>
        <v>11122223.842450887</v>
      </c>
      <c r="H42" s="240">
        <f t="shared" si="8"/>
        <v>295209239.1487838</v>
      </c>
      <c r="I42" s="238"/>
    </row>
    <row r="43" spans="1:9" x14ac:dyDescent="0.25">
      <c r="A43" s="208">
        <f t="shared" si="0"/>
        <v>2021</v>
      </c>
      <c r="B43" s="250">
        <f t="shared" si="6"/>
        <v>30</v>
      </c>
      <c r="C43" s="251">
        <f t="shared" si="10"/>
        <v>44367</v>
      </c>
      <c r="D43" s="240">
        <f t="shared" si="11"/>
        <v>295209239.1487838</v>
      </c>
      <c r="E43" s="240">
        <f t="shared" si="1"/>
        <v>8170131.4509630511</v>
      </c>
      <c r="F43" s="240">
        <f t="shared" si="2"/>
        <v>2952092.391487835</v>
      </c>
      <c r="G43" s="240">
        <f t="shared" si="7"/>
        <v>11122223.842450887</v>
      </c>
      <c r="H43" s="240">
        <f t="shared" si="8"/>
        <v>287039107.69782072</v>
      </c>
      <c r="I43" s="238"/>
    </row>
    <row r="44" spans="1:9" x14ac:dyDescent="0.25">
      <c r="A44" s="208">
        <f t="shared" si="0"/>
        <v>2021</v>
      </c>
      <c r="B44" s="250">
        <f t="shared" si="6"/>
        <v>31</v>
      </c>
      <c r="C44" s="251">
        <f t="shared" si="10"/>
        <v>44397</v>
      </c>
      <c r="D44" s="240">
        <f t="shared" si="11"/>
        <v>287039107.69782072</v>
      </c>
      <c r="E44" s="240">
        <f t="shared" si="1"/>
        <v>8251832.7654726813</v>
      </c>
      <c r="F44" s="240">
        <f t="shared" si="2"/>
        <v>2870391.0769782038</v>
      </c>
      <c r="G44" s="240">
        <f t="shared" si="7"/>
        <v>11122223.842450885</v>
      </c>
      <c r="H44" s="240">
        <f t="shared" si="8"/>
        <v>278787274.93234801</v>
      </c>
      <c r="I44" s="238"/>
    </row>
    <row r="45" spans="1:9" x14ac:dyDescent="0.25">
      <c r="A45" s="208">
        <f t="shared" si="0"/>
        <v>2021</v>
      </c>
      <c r="B45" s="250">
        <f t="shared" si="6"/>
        <v>32</v>
      </c>
      <c r="C45" s="251">
        <f t="shared" si="10"/>
        <v>44428</v>
      </c>
      <c r="D45" s="240">
        <f t="shared" si="11"/>
        <v>278787274.93234801</v>
      </c>
      <c r="E45" s="240">
        <f t="shared" si="1"/>
        <v>8334351.0931274081</v>
      </c>
      <c r="F45" s="240">
        <f t="shared" si="2"/>
        <v>2787872.749323478</v>
      </c>
      <c r="G45" s="240">
        <f t="shared" si="7"/>
        <v>11122223.842450887</v>
      </c>
      <c r="H45" s="240">
        <f t="shared" si="8"/>
        <v>270452923.83922058</v>
      </c>
      <c r="I45" s="238"/>
    </row>
    <row r="46" spans="1:9" x14ac:dyDescent="0.25">
      <c r="A46" s="208">
        <f t="shared" si="0"/>
        <v>2021</v>
      </c>
      <c r="B46" s="250">
        <f t="shared" si="6"/>
        <v>33</v>
      </c>
      <c r="C46" s="251">
        <f t="shared" si="10"/>
        <v>44459</v>
      </c>
      <c r="D46" s="240">
        <f t="shared" si="11"/>
        <v>270452923.83922058</v>
      </c>
      <c r="E46" s="240">
        <f t="shared" ref="E46:E73" si="12">IF(B46="","",IF(A$3=1,PPMT((VLOOKUP(B46,RATE,3)/12),B46-VLOOKUP(B46,RATE,5),VLOOKUP(B46,RATE,2),-VLOOKUP(B46,RATE,4)),PPMT(E$5/12,B46,H$4,-H$5)))</f>
        <v>8417694.6040586811</v>
      </c>
      <c r="F46" s="240">
        <f t="shared" ref="F46:F73" si="13">IF(B46="","",IF(A$3=1,IPMT(VLOOKUP(B46,RATE,3)/12,B46-VLOOKUP(B46,RATE,5),VLOOKUP(B46,RATE,2),-VLOOKUP(B46,RATE,4)),IPMT(E$5/12,B46,H$4,-H$5)))</f>
        <v>2704529.2383922036</v>
      </c>
      <c r="G46" s="240">
        <f t="shared" si="7"/>
        <v>11122223.842450885</v>
      </c>
      <c r="H46" s="240">
        <f t="shared" si="8"/>
        <v>262035229.2351619</v>
      </c>
      <c r="I46" s="238"/>
    </row>
    <row r="47" spans="1:9" x14ac:dyDescent="0.25">
      <c r="A47" s="208">
        <f t="shared" si="0"/>
        <v>2021</v>
      </c>
      <c r="B47" s="250">
        <f t="shared" si="6"/>
        <v>34</v>
      </c>
      <c r="C47" s="251">
        <f t="shared" si="10"/>
        <v>44489</v>
      </c>
      <c r="D47" s="240">
        <f t="shared" si="11"/>
        <v>262035229.2351619</v>
      </c>
      <c r="E47" s="240">
        <f t="shared" si="12"/>
        <v>8501871.5500992704</v>
      </c>
      <c r="F47" s="240">
        <f t="shared" si="13"/>
        <v>2620352.2923516165</v>
      </c>
      <c r="G47" s="240">
        <f t="shared" si="7"/>
        <v>11122223.842450887</v>
      </c>
      <c r="H47" s="240">
        <f t="shared" si="8"/>
        <v>253533357.68506262</v>
      </c>
      <c r="I47" s="238"/>
    </row>
    <row r="48" spans="1:9" x14ac:dyDescent="0.25">
      <c r="A48" s="208">
        <f t="shared" si="0"/>
        <v>2021</v>
      </c>
      <c r="B48" s="250">
        <f t="shared" si="6"/>
        <v>35</v>
      </c>
      <c r="C48" s="251">
        <f t="shared" si="10"/>
        <v>44520</v>
      </c>
      <c r="D48" s="240">
        <f t="shared" si="11"/>
        <v>253533357.68506262</v>
      </c>
      <c r="E48" s="240">
        <f t="shared" si="12"/>
        <v>8586890.2656002622</v>
      </c>
      <c r="F48" s="240">
        <f t="shared" si="13"/>
        <v>2535333.5768506243</v>
      </c>
      <c r="G48" s="240">
        <f t="shared" si="7"/>
        <v>11122223.842450887</v>
      </c>
      <c r="H48" s="240">
        <f t="shared" si="8"/>
        <v>244946467.41946235</v>
      </c>
      <c r="I48" s="238"/>
    </row>
    <row r="49" spans="1:9" x14ac:dyDescent="0.25">
      <c r="A49" s="208">
        <f t="shared" si="0"/>
        <v>2021</v>
      </c>
      <c r="B49" s="250">
        <f t="shared" si="6"/>
        <v>36</v>
      </c>
      <c r="C49" s="251">
        <f t="shared" si="10"/>
        <v>44550</v>
      </c>
      <c r="D49" s="240">
        <f t="shared" si="11"/>
        <v>244946467.41946235</v>
      </c>
      <c r="E49" s="240">
        <f t="shared" si="12"/>
        <v>8672759.1682562642</v>
      </c>
      <c r="F49" s="240">
        <f t="shared" si="13"/>
        <v>2449464.6741946214</v>
      </c>
      <c r="G49" s="240">
        <f t="shared" si="7"/>
        <v>11122223.842450885</v>
      </c>
      <c r="H49" s="240">
        <f t="shared" si="8"/>
        <v>236273708.2512061</v>
      </c>
      <c r="I49" s="238"/>
    </row>
    <row r="50" spans="1:9" x14ac:dyDescent="0.25">
      <c r="A50" s="208">
        <f t="shared" si="0"/>
        <v>2022</v>
      </c>
      <c r="B50" s="250">
        <f t="shared" si="6"/>
        <v>37</v>
      </c>
      <c r="C50" s="251">
        <f t="shared" si="10"/>
        <v>44581</v>
      </c>
      <c r="D50" s="240">
        <f t="shared" si="11"/>
        <v>236273708.2512061</v>
      </c>
      <c r="E50" s="240">
        <f t="shared" si="12"/>
        <v>8759486.7599388268</v>
      </c>
      <c r="F50" s="240">
        <f t="shared" si="13"/>
        <v>2362737.0825120583</v>
      </c>
      <c r="G50" s="240">
        <f t="shared" si="7"/>
        <v>11122223.842450885</v>
      </c>
      <c r="H50" s="240">
        <f t="shared" si="8"/>
        <v>227514221.49126726</v>
      </c>
      <c r="I50" s="238"/>
    </row>
    <row r="51" spans="1:9" x14ac:dyDescent="0.25">
      <c r="A51" s="208">
        <f t="shared" si="0"/>
        <v>2022</v>
      </c>
      <c r="B51" s="250">
        <f t="shared" si="6"/>
        <v>38</v>
      </c>
      <c r="C51" s="251">
        <f t="shared" si="10"/>
        <v>44612</v>
      </c>
      <c r="D51" s="240">
        <f t="shared" si="11"/>
        <v>227514221.49126726</v>
      </c>
      <c r="E51" s="240">
        <f t="shared" si="12"/>
        <v>8847081.6275382154</v>
      </c>
      <c r="F51" s="240">
        <f t="shared" si="13"/>
        <v>2275142.2149126702</v>
      </c>
      <c r="G51" s="240">
        <f t="shared" si="7"/>
        <v>11122223.842450885</v>
      </c>
      <c r="H51" s="240">
        <f t="shared" si="8"/>
        <v>218667139.86372906</v>
      </c>
      <c r="I51" s="238"/>
    </row>
    <row r="52" spans="1:9" x14ac:dyDescent="0.25">
      <c r="A52" s="208">
        <f t="shared" si="0"/>
        <v>2022</v>
      </c>
      <c r="B52" s="250">
        <f t="shared" si="6"/>
        <v>39</v>
      </c>
      <c r="C52" s="251">
        <f t="shared" si="10"/>
        <v>44640</v>
      </c>
      <c r="D52" s="240">
        <f t="shared" si="11"/>
        <v>218667139.86372906</v>
      </c>
      <c r="E52" s="240">
        <f t="shared" si="12"/>
        <v>8935552.4438135978</v>
      </c>
      <c r="F52" s="240">
        <f t="shared" si="13"/>
        <v>2186671.3986372887</v>
      </c>
      <c r="G52" s="240">
        <f t="shared" si="7"/>
        <v>11122223.842450887</v>
      </c>
      <c r="H52" s="240">
        <f t="shared" si="8"/>
        <v>209731587.41991547</v>
      </c>
      <c r="I52" s="238"/>
    </row>
    <row r="53" spans="1:9" x14ac:dyDescent="0.25">
      <c r="A53" s="208">
        <f t="shared" si="0"/>
        <v>2022</v>
      </c>
      <c r="B53" s="250">
        <f t="shared" si="6"/>
        <v>40</v>
      </c>
      <c r="C53" s="251">
        <f t="shared" si="10"/>
        <v>44671</v>
      </c>
      <c r="D53" s="240">
        <f t="shared" si="11"/>
        <v>209731587.41991547</v>
      </c>
      <c r="E53" s="240">
        <f t="shared" si="12"/>
        <v>9024907.9682517331</v>
      </c>
      <c r="F53" s="240">
        <f t="shared" si="13"/>
        <v>2097315.874199152</v>
      </c>
      <c r="G53" s="240">
        <f t="shared" si="7"/>
        <v>11122223.842450885</v>
      </c>
      <c r="H53" s="240">
        <f t="shared" si="8"/>
        <v>200706679.45166373</v>
      </c>
      <c r="I53" s="238"/>
    </row>
    <row r="54" spans="1:9" x14ac:dyDescent="0.25">
      <c r="A54" s="208">
        <f t="shared" si="0"/>
        <v>2022</v>
      </c>
      <c r="B54" s="250">
        <f t="shared" si="6"/>
        <v>41</v>
      </c>
      <c r="C54" s="251">
        <f t="shared" si="10"/>
        <v>44701</v>
      </c>
      <c r="D54" s="240">
        <f t="shared" si="11"/>
        <v>200706679.45166373</v>
      </c>
      <c r="E54" s="240">
        <f t="shared" si="12"/>
        <v>9115157.0479342509</v>
      </c>
      <c r="F54" s="240">
        <f t="shared" si="13"/>
        <v>2007066.7945166349</v>
      </c>
      <c r="G54" s="240">
        <f t="shared" si="7"/>
        <v>11122223.842450885</v>
      </c>
      <c r="H54" s="240">
        <f t="shared" si="8"/>
        <v>191591522.40372947</v>
      </c>
      <c r="I54" s="238"/>
    </row>
    <row r="55" spans="1:9" x14ac:dyDescent="0.25">
      <c r="A55" s="208">
        <f t="shared" si="0"/>
        <v>2022</v>
      </c>
      <c r="B55" s="250">
        <f t="shared" si="6"/>
        <v>42</v>
      </c>
      <c r="C55" s="251">
        <f t="shared" si="10"/>
        <v>44732</v>
      </c>
      <c r="D55" s="240">
        <f t="shared" si="11"/>
        <v>191591522.40372947</v>
      </c>
      <c r="E55" s="240">
        <f t="shared" si="12"/>
        <v>9206308.6184135936</v>
      </c>
      <c r="F55" s="240">
        <f t="shared" si="13"/>
        <v>1915915.2240372919</v>
      </c>
      <c r="G55" s="240">
        <f t="shared" si="7"/>
        <v>11122223.842450885</v>
      </c>
      <c r="H55" s="240">
        <f t="shared" si="8"/>
        <v>182385213.78531587</v>
      </c>
      <c r="I55" s="238"/>
    </row>
    <row r="56" spans="1:9" x14ac:dyDescent="0.25">
      <c r="A56" s="208">
        <f t="shared" si="0"/>
        <v>2022</v>
      </c>
      <c r="B56" s="250">
        <f t="shared" si="6"/>
        <v>43</v>
      </c>
      <c r="C56" s="251">
        <f t="shared" si="10"/>
        <v>44762</v>
      </c>
      <c r="D56" s="240">
        <f t="shared" si="11"/>
        <v>182385213.78531587</v>
      </c>
      <c r="E56" s="240">
        <f t="shared" si="12"/>
        <v>9298371.7045977302</v>
      </c>
      <c r="F56" s="240">
        <f t="shared" si="13"/>
        <v>1823852.1378531561</v>
      </c>
      <c r="G56" s="240">
        <f t="shared" si="7"/>
        <v>11122223.842450887</v>
      </c>
      <c r="H56" s="240">
        <f t="shared" si="8"/>
        <v>173086842.08071813</v>
      </c>
      <c r="I56" s="238"/>
    </row>
    <row r="57" spans="1:9" x14ac:dyDescent="0.25">
      <c r="A57" s="208">
        <f t="shared" si="0"/>
        <v>2022</v>
      </c>
      <c r="B57" s="250">
        <f t="shared" si="6"/>
        <v>44</v>
      </c>
      <c r="C57" s="251">
        <f t="shared" si="10"/>
        <v>44793</v>
      </c>
      <c r="D57" s="240">
        <f t="shared" si="11"/>
        <v>173086842.08071813</v>
      </c>
      <c r="E57" s="240">
        <f t="shared" si="12"/>
        <v>9391355.421643706</v>
      </c>
      <c r="F57" s="240">
        <f t="shared" si="13"/>
        <v>1730868.4208071791</v>
      </c>
      <c r="G57" s="240">
        <f t="shared" si="7"/>
        <v>11122223.842450885</v>
      </c>
      <c r="H57" s="240">
        <f t="shared" si="8"/>
        <v>163695486.65907443</v>
      </c>
      <c r="I57" s="238"/>
    </row>
    <row r="58" spans="1:9" x14ac:dyDescent="0.25">
      <c r="A58" s="208">
        <f t="shared" si="0"/>
        <v>2022</v>
      </c>
      <c r="B58" s="250">
        <f t="shared" si="6"/>
        <v>45</v>
      </c>
      <c r="C58" s="251">
        <f t="shared" si="10"/>
        <v>44824</v>
      </c>
      <c r="D58" s="240">
        <f t="shared" si="11"/>
        <v>163695486.65907443</v>
      </c>
      <c r="E58" s="240">
        <f t="shared" si="12"/>
        <v>9485268.9758601449</v>
      </c>
      <c r="F58" s="240">
        <f t="shared" si="13"/>
        <v>1636954.866590742</v>
      </c>
      <c r="G58" s="240">
        <f t="shared" si="7"/>
        <v>11122223.842450887</v>
      </c>
      <c r="H58" s="240">
        <f t="shared" si="8"/>
        <v>154210217.68321428</v>
      </c>
      <c r="I58" s="238"/>
    </row>
    <row r="59" spans="1:9" x14ac:dyDescent="0.25">
      <c r="A59" s="208">
        <f t="shared" si="0"/>
        <v>2022</v>
      </c>
      <c r="B59" s="250">
        <f t="shared" si="6"/>
        <v>46</v>
      </c>
      <c r="C59" s="251">
        <f t="shared" si="10"/>
        <v>44854</v>
      </c>
      <c r="D59" s="240">
        <f t="shared" si="11"/>
        <v>154210217.68321428</v>
      </c>
      <c r="E59" s="240">
        <f t="shared" si="12"/>
        <v>9580121.6656187456</v>
      </c>
      <c r="F59" s="240">
        <f t="shared" si="13"/>
        <v>1542102.1768321402</v>
      </c>
      <c r="G59" s="240">
        <f t="shared" si="7"/>
        <v>11122223.842450885</v>
      </c>
      <c r="H59" s="240">
        <f t="shared" si="8"/>
        <v>144630096.01759553</v>
      </c>
      <c r="I59" s="238"/>
    </row>
    <row r="60" spans="1:9" x14ac:dyDescent="0.25">
      <c r="A60" s="208">
        <f t="shared" si="0"/>
        <v>2022</v>
      </c>
      <c r="B60" s="250">
        <f t="shared" si="6"/>
        <v>47</v>
      </c>
      <c r="C60" s="251">
        <f t="shared" si="10"/>
        <v>44885</v>
      </c>
      <c r="D60" s="240">
        <f t="shared" si="11"/>
        <v>144630096.01759553</v>
      </c>
      <c r="E60" s="240">
        <f t="shared" si="12"/>
        <v>9675922.8822749332</v>
      </c>
      <c r="F60" s="240">
        <f t="shared" si="13"/>
        <v>1446300.9601759529</v>
      </c>
      <c r="G60" s="240">
        <f t="shared" si="7"/>
        <v>11122223.842450887</v>
      </c>
      <c r="H60" s="240">
        <f t="shared" si="8"/>
        <v>134954173.1353206</v>
      </c>
      <c r="I60" s="238"/>
    </row>
    <row r="61" spans="1:9" x14ac:dyDescent="0.25">
      <c r="A61" s="208">
        <f t="shared" si="0"/>
        <v>2022</v>
      </c>
      <c r="B61" s="250">
        <f t="shared" si="6"/>
        <v>48</v>
      </c>
      <c r="C61" s="251">
        <f t="shared" si="10"/>
        <v>44915</v>
      </c>
      <c r="D61" s="240">
        <f t="shared" si="11"/>
        <v>134954173.1353206</v>
      </c>
      <c r="E61" s="240">
        <f t="shared" si="12"/>
        <v>9772682.1110976823</v>
      </c>
      <c r="F61" s="240">
        <f t="shared" si="13"/>
        <v>1349541.7313532033</v>
      </c>
      <c r="G61" s="240">
        <f t="shared" si="7"/>
        <v>11122223.842450885</v>
      </c>
      <c r="H61" s="240">
        <f t="shared" si="8"/>
        <v>125181491.02422293</v>
      </c>
      <c r="I61" s="238"/>
    </row>
    <row r="62" spans="1:9" x14ac:dyDescent="0.25">
      <c r="A62" s="208">
        <f t="shared" si="0"/>
        <v>2023</v>
      </c>
      <c r="B62" s="250">
        <f t="shared" si="6"/>
        <v>49</v>
      </c>
      <c r="C62" s="251">
        <f t="shared" si="10"/>
        <v>44946</v>
      </c>
      <c r="D62" s="240">
        <f t="shared" si="11"/>
        <v>125181491.02422293</v>
      </c>
      <c r="E62" s="240">
        <f t="shared" si="12"/>
        <v>9870408.9322086591</v>
      </c>
      <c r="F62" s="240">
        <f t="shared" si="13"/>
        <v>1251814.9102422267</v>
      </c>
      <c r="G62" s="240">
        <f t="shared" si="7"/>
        <v>11122223.842450885</v>
      </c>
      <c r="H62" s="240">
        <f t="shared" si="8"/>
        <v>115311082.09201427</v>
      </c>
      <c r="I62" s="238"/>
    </row>
    <row r="63" spans="1:9" x14ac:dyDescent="0.25">
      <c r="A63" s="208">
        <f t="shared" si="0"/>
        <v>2023</v>
      </c>
      <c r="B63" s="250">
        <f t="shared" si="6"/>
        <v>50</v>
      </c>
      <c r="C63" s="251">
        <f t="shared" si="10"/>
        <v>44977</v>
      </c>
      <c r="D63" s="240">
        <f t="shared" si="11"/>
        <v>115311082.09201427</v>
      </c>
      <c r="E63" s="240">
        <f t="shared" si="12"/>
        <v>9969113.0215307456</v>
      </c>
      <c r="F63" s="240">
        <f t="shared" si="13"/>
        <v>1153110.82092014</v>
      </c>
      <c r="G63" s="240">
        <f t="shared" si="7"/>
        <v>11122223.842450885</v>
      </c>
      <c r="H63" s="240">
        <f t="shared" si="8"/>
        <v>105341969.07048352</v>
      </c>
      <c r="I63" s="238"/>
    </row>
    <row r="64" spans="1:9" x14ac:dyDescent="0.25">
      <c r="A64" s="208">
        <f t="shared" si="0"/>
        <v>2023</v>
      </c>
      <c r="B64" s="250">
        <f t="shared" si="6"/>
        <v>51</v>
      </c>
      <c r="C64" s="251">
        <f t="shared" si="10"/>
        <v>45005</v>
      </c>
      <c r="D64" s="240">
        <f t="shared" si="11"/>
        <v>105341969.07048352</v>
      </c>
      <c r="E64" s="240">
        <f t="shared" si="12"/>
        <v>10068804.151746053</v>
      </c>
      <c r="F64" s="240">
        <f t="shared" si="13"/>
        <v>1053419.6907048323</v>
      </c>
      <c r="G64" s="240">
        <f t="shared" si="7"/>
        <v>11122223.842450885</v>
      </c>
      <c r="H64" s="240">
        <f t="shared" si="8"/>
        <v>95273164.918737471</v>
      </c>
      <c r="I64" s="238"/>
    </row>
    <row r="65" spans="1:9" x14ac:dyDescent="0.25">
      <c r="A65" s="208">
        <f t="shared" si="0"/>
        <v>2023</v>
      </c>
      <c r="B65" s="250">
        <f t="shared" si="6"/>
        <v>52</v>
      </c>
      <c r="C65" s="251">
        <f t="shared" si="10"/>
        <v>45036</v>
      </c>
      <c r="D65" s="240">
        <f t="shared" si="11"/>
        <v>95273164.918737471</v>
      </c>
      <c r="E65" s="240">
        <f t="shared" si="12"/>
        <v>10169492.193263514</v>
      </c>
      <c r="F65" s="240">
        <f t="shared" si="13"/>
        <v>952731.64918737207</v>
      </c>
      <c r="G65" s="240">
        <f t="shared" si="7"/>
        <v>11122223.842450887</v>
      </c>
      <c r="H65" s="240">
        <f t="shared" si="8"/>
        <v>85103672.725473955</v>
      </c>
      <c r="I65" s="238"/>
    </row>
    <row r="66" spans="1:9" x14ac:dyDescent="0.25">
      <c r="A66" s="208">
        <f t="shared" si="0"/>
        <v>2023</v>
      </c>
      <c r="B66" s="250">
        <f t="shared" si="6"/>
        <v>53</v>
      </c>
      <c r="C66" s="251">
        <f t="shared" si="10"/>
        <v>45066</v>
      </c>
      <c r="D66" s="240">
        <f t="shared" si="11"/>
        <v>85103672.725473955</v>
      </c>
      <c r="E66" s="240">
        <f t="shared" si="12"/>
        <v>10271187.115196148</v>
      </c>
      <c r="F66" s="240">
        <f t="shared" si="13"/>
        <v>851036.7272547367</v>
      </c>
      <c r="G66" s="240">
        <f t="shared" si="7"/>
        <v>11122223.842450885</v>
      </c>
      <c r="H66" s="240">
        <f t="shared" si="8"/>
        <v>74832485.610277802</v>
      </c>
      <c r="I66" s="238"/>
    </row>
    <row r="67" spans="1:9" x14ac:dyDescent="0.25">
      <c r="A67" s="208">
        <f t="shared" si="0"/>
        <v>2023</v>
      </c>
      <c r="B67" s="250">
        <f t="shared" si="6"/>
        <v>54</v>
      </c>
      <c r="C67" s="251">
        <f t="shared" si="10"/>
        <v>45097</v>
      </c>
      <c r="D67" s="240">
        <f t="shared" si="11"/>
        <v>74832485.610277802</v>
      </c>
      <c r="E67" s="240">
        <f t="shared" si="12"/>
        <v>10373898.986348111</v>
      </c>
      <c r="F67" s="240">
        <f t="shared" si="13"/>
        <v>748324.8561027752</v>
      </c>
      <c r="G67" s="240">
        <f t="shared" si="7"/>
        <v>11122223.842450887</v>
      </c>
      <c r="H67" s="240">
        <f t="shared" si="8"/>
        <v>64458586.623929694</v>
      </c>
      <c r="I67" s="238"/>
    </row>
    <row r="68" spans="1:9" x14ac:dyDescent="0.25">
      <c r="A68" s="208">
        <f t="shared" si="0"/>
        <v>2023</v>
      </c>
      <c r="B68" s="250">
        <f t="shared" si="6"/>
        <v>55</v>
      </c>
      <c r="C68" s="251">
        <f t="shared" si="10"/>
        <v>45127</v>
      </c>
      <c r="D68" s="240">
        <f t="shared" si="11"/>
        <v>64458586.623929694</v>
      </c>
      <c r="E68" s="240">
        <f t="shared" si="12"/>
        <v>10477637.976211593</v>
      </c>
      <c r="F68" s="240">
        <f t="shared" si="13"/>
        <v>644585.86623929406</v>
      </c>
      <c r="G68" s="240">
        <f t="shared" si="7"/>
        <v>11122223.842450887</v>
      </c>
      <c r="H68" s="240">
        <f t="shared" si="8"/>
        <v>53980948.647718102</v>
      </c>
      <c r="I68" s="238"/>
    </row>
    <row r="69" spans="1:9" x14ac:dyDescent="0.25">
      <c r="A69" s="208">
        <f t="shared" si="0"/>
        <v>2023</v>
      </c>
      <c r="B69" s="250">
        <f t="shared" si="6"/>
        <v>56</v>
      </c>
      <c r="C69" s="251">
        <f t="shared" si="10"/>
        <v>45158</v>
      </c>
      <c r="D69" s="240">
        <f t="shared" si="11"/>
        <v>53980948.647718102</v>
      </c>
      <c r="E69" s="240">
        <f t="shared" si="12"/>
        <v>10582414.355973708</v>
      </c>
      <c r="F69" s="240">
        <f t="shared" si="13"/>
        <v>539809.48647717817</v>
      </c>
      <c r="G69" s="240">
        <f t="shared" si="7"/>
        <v>11122223.842450885</v>
      </c>
      <c r="H69" s="240">
        <f t="shared" si="8"/>
        <v>43398534.291744396</v>
      </c>
      <c r="I69" s="238"/>
    </row>
    <row r="70" spans="1:9" x14ac:dyDescent="0.25">
      <c r="A70" s="208">
        <f t="shared" si="0"/>
        <v>2023</v>
      </c>
      <c r="B70" s="250">
        <f t="shared" si="6"/>
        <v>57</v>
      </c>
      <c r="C70" s="251">
        <f t="shared" si="10"/>
        <v>45189</v>
      </c>
      <c r="D70" s="240">
        <f t="shared" si="11"/>
        <v>43398534.291744396</v>
      </c>
      <c r="E70" s="240">
        <f t="shared" si="12"/>
        <v>10688238.499533447</v>
      </c>
      <c r="F70" s="240">
        <f t="shared" si="13"/>
        <v>433985.34291744098</v>
      </c>
      <c r="G70" s="240">
        <f t="shared" si="7"/>
        <v>11122223.842450887</v>
      </c>
      <c r="H70" s="240">
        <f t="shared" si="8"/>
        <v>32710295.792210951</v>
      </c>
      <c r="I70" s="238"/>
    </row>
    <row r="71" spans="1:9" x14ac:dyDescent="0.25">
      <c r="A71" s="208">
        <f t="shared" si="0"/>
        <v>2023</v>
      </c>
      <c r="B71" s="250">
        <f t="shared" si="6"/>
        <v>58</v>
      </c>
      <c r="C71" s="251">
        <f t="shared" si="10"/>
        <v>45219</v>
      </c>
      <c r="D71" s="240">
        <f t="shared" si="11"/>
        <v>32710295.792210951</v>
      </c>
      <c r="E71" s="240">
        <f t="shared" si="12"/>
        <v>10795120.88452878</v>
      </c>
      <c r="F71" s="240">
        <f t="shared" si="13"/>
        <v>327102.95792210661</v>
      </c>
      <c r="G71" s="240">
        <f t="shared" si="7"/>
        <v>11122223.842450887</v>
      </c>
      <c r="H71" s="240">
        <f t="shared" si="8"/>
        <v>21915174.907682173</v>
      </c>
      <c r="I71" s="238"/>
    </row>
    <row r="72" spans="1:9" x14ac:dyDescent="0.25">
      <c r="A72" s="208">
        <f t="shared" si="0"/>
        <v>2023</v>
      </c>
      <c r="B72" s="250">
        <f t="shared" si="6"/>
        <v>59</v>
      </c>
      <c r="C72" s="251">
        <f t="shared" si="10"/>
        <v>45250</v>
      </c>
      <c r="D72" s="240">
        <f t="shared" si="11"/>
        <v>21915174.907682173</v>
      </c>
      <c r="E72" s="240">
        <f t="shared" si="12"/>
        <v>10903072.093374066</v>
      </c>
      <c r="F72" s="240">
        <f t="shared" si="13"/>
        <v>219151.74907681879</v>
      </c>
      <c r="G72" s="240">
        <f t="shared" si="7"/>
        <v>11122223.842450885</v>
      </c>
      <c r="H72" s="240">
        <f t="shared" si="8"/>
        <v>11012102.814308107</v>
      </c>
      <c r="I72" s="238"/>
    </row>
    <row r="73" spans="1:9" x14ac:dyDescent="0.25">
      <c r="A73" s="208">
        <f t="shared" si="0"/>
        <v>2023</v>
      </c>
      <c r="B73" s="250">
        <f t="shared" si="6"/>
        <v>60</v>
      </c>
      <c r="C73" s="251">
        <f t="shared" si="10"/>
        <v>45280</v>
      </c>
      <c r="D73" s="240">
        <f t="shared" si="11"/>
        <v>11012102.814308107</v>
      </c>
      <c r="E73" s="240">
        <f t="shared" si="12"/>
        <v>11012102.814307807</v>
      </c>
      <c r="F73" s="240">
        <f t="shared" si="13"/>
        <v>110121.02814307809</v>
      </c>
      <c r="G73" s="240">
        <f t="shared" si="7"/>
        <v>11122223.842450885</v>
      </c>
      <c r="H73" s="240">
        <f t="shared" si="8"/>
        <v>2.9988586902618408E-7</v>
      </c>
      <c r="I73" s="238"/>
    </row>
    <row r="74" spans="1:9" ht="19.5" customHeight="1" x14ac:dyDescent="0.25"/>
  </sheetData>
  <mergeCells count="10">
    <mergeCell ref="O23:T24"/>
    <mergeCell ref="O25:T27"/>
    <mergeCell ref="B3:H3"/>
    <mergeCell ref="L7:L8"/>
    <mergeCell ref="B12:B13"/>
    <mergeCell ref="C12:C13"/>
    <mergeCell ref="F12:F13"/>
    <mergeCell ref="G12:G13"/>
    <mergeCell ref="J12:J13"/>
    <mergeCell ref="L12:L13"/>
  </mergeCells>
  <conditionalFormatting sqref="J14:M19 B14:H73">
    <cfRule type="notContainsBlanks" dxfId="1" priority="2">
      <formula>LEN(TRIM(B14))&gt;0</formula>
    </cfRule>
  </conditionalFormatting>
  <conditionalFormatting sqref="D6:E9">
    <cfRule type="expression" dxfId="0" priority="1">
      <formula>$A$3=2</formula>
    </cfRule>
  </conditionalFormatting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Scroll Bar 1">
              <controlPr defaultSize="0" autoPict="0">
                <anchor moveWithCells="1">
                  <from>
                    <xdr:col>6</xdr:col>
                    <xdr:colOff>571500</xdr:colOff>
                    <xdr:row>3</xdr:row>
                    <xdr:rowOff>38100</xdr:rowOff>
                  </from>
                  <to>
                    <xdr:col>6</xdr:col>
                    <xdr:colOff>1028700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Scroll Bar 2">
              <controlPr defaultSize="0" autoPict="0">
                <anchor moveWithCells="1">
                  <from>
                    <xdr:col>6</xdr:col>
                    <xdr:colOff>571500</xdr:colOff>
                    <xdr:row>4</xdr:row>
                    <xdr:rowOff>28575</xdr:rowOff>
                  </from>
                  <to>
                    <xdr:col>6</xdr:col>
                    <xdr:colOff>1028700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Scroll Bar 3">
              <controlPr defaultSize="0" autoPict="0">
                <anchor moveWithCells="1">
                  <from>
                    <xdr:col>6</xdr:col>
                    <xdr:colOff>571500</xdr:colOff>
                    <xdr:row>5</xdr:row>
                    <xdr:rowOff>28575</xdr:rowOff>
                  </from>
                  <to>
                    <xdr:col>6</xdr:col>
                    <xdr:colOff>1028700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Scroll Bar 4">
              <controlPr defaultSize="0" autoPict="0">
                <anchor moveWithCells="1">
                  <from>
                    <xdr:col>6</xdr:col>
                    <xdr:colOff>571500</xdr:colOff>
                    <xdr:row>6</xdr:row>
                    <xdr:rowOff>28575</xdr:rowOff>
                  </from>
                  <to>
                    <xdr:col>6</xdr:col>
                    <xdr:colOff>1028700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Scroll Bar 5">
              <controlPr defaultSize="0" autoPict="0">
                <anchor moveWithCells="1">
                  <from>
                    <xdr:col>3</xdr:col>
                    <xdr:colOff>514350</xdr:colOff>
                    <xdr:row>4</xdr:row>
                    <xdr:rowOff>28575</xdr:rowOff>
                  </from>
                  <to>
                    <xdr:col>3</xdr:col>
                    <xdr:colOff>971550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Scroll Bar 6">
              <controlPr defaultSize="0" autoPict="0">
                <anchor moveWithCells="1">
                  <from>
                    <xdr:col>3</xdr:col>
                    <xdr:colOff>514350</xdr:colOff>
                    <xdr:row>5</xdr:row>
                    <xdr:rowOff>28575</xdr:rowOff>
                  </from>
                  <to>
                    <xdr:col>3</xdr:col>
                    <xdr:colOff>971550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Scroll Bar 7">
              <controlPr defaultSize="0" autoPict="0">
                <anchor moveWithCells="1">
                  <from>
                    <xdr:col>3</xdr:col>
                    <xdr:colOff>514350</xdr:colOff>
                    <xdr:row>6</xdr:row>
                    <xdr:rowOff>28575</xdr:rowOff>
                  </from>
                  <to>
                    <xdr:col>3</xdr:col>
                    <xdr:colOff>971550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Scroll Bar 8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28575</xdr:rowOff>
                  </from>
                  <to>
                    <xdr:col>3</xdr:col>
                    <xdr:colOff>971550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Scroll Bar 9">
              <controlPr defaultSize="0" autoPict="0">
                <anchor moveWithCells="1">
                  <from>
                    <xdr:col>3</xdr:col>
                    <xdr:colOff>514350</xdr:colOff>
                    <xdr:row>8</xdr:row>
                    <xdr:rowOff>28575</xdr:rowOff>
                  </from>
                  <to>
                    <xdr:col>3</xdr:col>
                    <xdr:colOff>971550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Option Button 10">
              <controlPr defaultSize="0" autoFill="0" autoLine="0" autoPict="0">
                <anchor moveWithCells="1">
                  <from>
                    <xdr:col>4</xdr:col>
                    <xdr:colOff>9525</xdr:colOff>
                    <xdr:row>2</xdr:row>
                    <xdr:rowOff>9525</xdr:rowOff>
                  </from>
                  <to>
                    <xdr:col>4</xdr:col>
                    <xdr:colOff>314325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Option Button 11">
              <controlPr defaultSize="0" autoFill="0" autoLine="0" autoPict="0">
                <anchor moveWithCells="1">
                  <from>
                    <xdr:col>5</xdr:col>
                    <xdr:colOff>190500</xdr:colOff>
                    <xdr:row>2</xdr:row>
                    <xdr:rowOff>9525</xdr:rowOff>
                  </from>
                  <to>
                    <xdr:col>5</xdr:col>
                    <xdr:colOff>495300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3"/>
  <sheetViews>
    <sheetView showGridLines="0" workbookViewId="0">
      <selection activeCell="G10" sqref="G10"/>
    </sheetView>
  </sheetViews>
  <sheetFormatPr defaultRowHeight="15" x14ac:dyDescent="0.25"/>
  <cols>
    <col min="1" max="1" width="5.85546875" style="1" customWidth="1"/>
    <col min="2" max="2" width="5.5703125" style="1" customWidth="1"/>
    <col min="3" max="3" width="12.140625" style="1" customWidth="1"/>
    <col min="4" max="4" width="23.85546875" style="1" customWidth="1"/>
    <col min="5" max="5" width="15" style="1" customWidth="1"/>
    <col min="6" max="7" width="13" style="1" customWidth="1"/>
    <col min="8" max="8" width="4.7109375" style="1" customWidth="1"/>
    <col min="9" max="9" width="14.5703125" style="1" customWidth="1"/>
    <col min="10" max="10" width="10.5703125" style="1" customWidth="1"/>
    <col min="11" max="11" width="4.7109375" style="1" customWidth="1"/>
    <col min="12" max="12" width="13.85546875" style="1" customWidth="1"/>
    <col min="13" max="16384" width="9.140625" style="1"/>
  </cols>
  <sheetData>
    <row r="1" spans="2:12" ht="19.5" customHeight="1" x14ac:dyDescent="0.25"/>
    <row r="2" spans="2:12" ht="18.75" x14ac:dyDescent="0.25">
      <c r="B2" s="28" t="s">
        <v>62</v>
      </c>
    </row>
    <row r="3" spans="2:12" ht="15" customHeight="1" x14ac:dyDescent="0.25">
      <c r="B3" s="279" t="str">
        <f>"Periode "&amp;TEXT(DATE(YEAR(C6),MONTH(C6),DAY(1)),"dd mmmm yyy")&amp;" s.d. "&amp;TEXT(MAX(C6:C55),"dd mmmm yyy")</f>
        <v>Periode 01 Februari 2019 s.d. 18 Februari 2019</v>
      </c>
      <c r="C3" s="279"/>
      <c r="D3" s="279"/>
      <c r="E3" s="279"/>
      <c r="F3" s="279"/>
      <c r="G3" s="279"/>
    </row>
    <row r="4" spans="2:12" x14ac:dyDescent="0.25">
      <c r="B4" s="18" t="s">
        <v>19</v>
      </c>
      <c r="C4" s="19" t="s">
        <v>18</v>
      </c>
      <c r="D4" s="19" t="s">
        <v>17</v>
      </c>
      <c r="E4" s="19" t="s">
        <v>16</v>
      </c>
      <c r="F4" s="19" t="s">
        <v>15</v>
      </c>
      <c r="G4" s="18" t="s">
        <v>14</v>
      </c>
      <c r="I4" s="29" t="s">
        <v>67</v>
      </c>
    </row>
    <row r="5" spans="2:12" x14ac:dyDescent="0.25">
      <c r="B5" s="276" t="s">
        <v>13</v>
      </c>
      <c r="C5" s="277"/>
      <c r="D5" s="277"/>
      <c r="E5" s="277"/>
      <c r="F5" s="278"/>
      <c r="G5" s="20">
        <v>1250000</v>
      </c>
      <c r="I5" s="22" t="s">
        <v>37</v>
      </c>
      <c r="J5" s="24">
        <f>G5</f>
        <v>1250000</v>
      </c>
      <c r="L5" s="34" t="s">
        <v>16</v>
      </c>
    </row>
    <row r="6" spans="2:12" x14ac:dyDescent="0.25">
      <c r="B6" s="2">
        <f>IF(D6="","",1)</f>
        <v>1</v>
      </c>
      <c r="C6" s="6">
        <v>43497</v>
      </c>
      <c r="D6" s="3" t="s">
        <v>12</v>
      </c>
      <c r="E6" s="3" t="s">
        <v>11</v>
      </c>
      <c r="F6" s="2">
        <v>6000000</v>
      </c>
      <c r="G6" s="2">
        <f>IF(B6="","",IF(E6="Penerimaan",G5+F6,G5-F6))</f>
        <v>7250000</v>
      </c>
      <c r="I6" s="22" t="s">
        <v>11</v>
      </c>
      <c r="J6" s="24">
        <f>SUMIF(E$6:E$55,I6,F$6:F$55)</f>
        <v>6000000</v>
      </c>
      <c r="L6" s="30" t="s">
        <v>11</v>
      </c>
    </row>
    <row r="7" spans="2:12" x14ac:dyDescent="0.25">
      <c r="B7" s="2">
        <f>IF(D7="","",B6+1)</f>
        <v>2</v>
      </c>
      <c r="C7" s="6">
        <v>43497</v>
      </c>
      <c r="D7" s="3" t="s">
        <v>10</v>
      </c>
      <c r="E7" s="3" t="s">
        <v>0</v>
      </c>
      <c r="F7" s="2">
        <v>1250000</v>
      </c>
      <c r="G7" s="2">
        <f t="shared" ref="G7:G55" si="0">IF(B7="","",IF(E7="Penerimaan",G6+F7,G6-F7))</f>
        <v>6000000</v>
      </c>
      <c r="I7" s="22" t="s">
        <v>0</v>
      </c>
      <c r="J7" s="24">
        <f>SUMIF(E$6:E$55,I7,F$6:F$55)</f>
        <v>4705000</v>
      </c>
      <c r="L7" s="30" t="s">
        <v>0</v>
      </c>
    </row>
    <row r="8" spans="2:12" x14ac:dyDescent="0.25">
      <c r="B8" s="2">
        <f t="shared" ref="B8:B55" si="1">IF(D8="","",B7+1)</f>
        <v>3</v>
      </c>
      <c r="C8" s="6">
        <v>43498</v>
      </c>
      <c r="D8" s="3" t="s">
        <v>9</v>
      </c>
      <c r="E8" s="3" t="s">
        <v>0</v>
      </c>
      <c r="F8" s="2">
        <v>250000</v>
      </c>
      <c r="G8" s="2">
        <f t="shared" si="0"/>
        <v>5750000</v>
      </c>
      <c r="I8" s="25" t="s">
        <v>61</v>
      </c>
      <c r="J8" s="26">
        <f>J5+J6-J7</f>
        <v>2545000</v>
      </c>
    </row>
    <row r="9" spans="2:12" x14ac:dyDescent="0.25">
      <c r="B9" s="2">
        <f t="shared" si="1"/>
        <v>4</v>
      </c>
      <c r="C9" s="6">
        <v>43500</v>
      </c>
      <c r="D9" s="3" t="s">
        <v>8</v>
      </c>
      <c r="E9" s="3" t="s">
        <v>0</v>
      </c>
      <c r="F9" s="2">
        <v>102500</v>
      </c>
      <c r="G9" s="2">
        <f t="shared" si="0"/>
        <v>5647500</v>
      </c>
    </row>
    <row r="10" spans="2:12" x14ac:dyDescent="0.25">
      <c r="B10" s="2">
        <f t="shared" si="1"/>
        <v>5</v>
      </c>
      <c r="C10" s="6">
        <v>43502</v>
      </c>
      <c r="D10" s="3" t="s">
        <v>7</v>
      </c>
      <c r="E10" s="3" t="s">
        <v>0</v>
      </c>
      <c r="F10" s="2">
        <v>502500</v>
      </c>
      <c r="G10" s="2">
        <f t="shared" si="0"/>
        <v>5145000</v>
      </c>
    </row>
    <row r="11" spans="2:12" x14ac:dyDescent="0.25">
      <c r="B11" s="2">
        <f t="shared" si="1"/>
        <v>6</v>
      </c>
      <c r="C11" s="6">
        <v>43505</v>
      </c>
      <c r="D11" s="3" t="s">
        <v>6</v>
      </c>
      <c r="E11" s="3" t="s">
        <v>0</v>
      </c>
      <c r="F11" s="2">
        <v>200000</v>
      </c>
      <c r="G11" s="2">
        <f t="shared" si="0"/>
        <v>4945000</v>
      </c>
      <c r="I11" s="27"/>
    </row>
    <row r="12" spans="2:12" x14ac:dyDescent="0.25">
      <c r="B12" s="2">
        <f t="shared" si="1"/>
        <v>7</v>
      </c>
      <c r="C12" s="6">
        <v>43506</v>
      </c>
      <c r="D12" s="3" t="s">
        <v>5</v>
      </c>
      <c r="E12" s="3" t="s">
        <v>0</v>
      </c>
      <c r="F12" s="2">
        <v>150000</v>
      </c>
      <c r="G12" s="2">
        <f t="shared" si="0"/>
        <v>4795000</v>
      </c>
    </row>
    <row r="13" spans="2:12" x14ac:dyDescent="0.25">
      <c r="B13" s="2">
        <f t="shared" si="1"/>
        <v>8</v>
      </c>
      <c r="C13" s="6">
        <v>43507</v>
      </c>
      <c r="D13" s="3" t="s">
        <v>4</v>
      </c>
      <c r="E13" s="3" t="s">
        <v>0</v>
      </c>
      <c r="F13" s="2">
        <v>1000000</v>
      </c>
      <c r="G13" s="2">
        <f t="shared" si="0"/>
        <v>3795000</v>
      </c>
    </row>
    <row r="14" spans="2:12" x14ac:dyDescent="0.25">
      <c r="B14" s="2">
        <f t="shared" si="1"/>
        <v>9</v>
      </c>
      <c r="C14" s="6">
        <v>43511</v>
      </c>
      <c r="D14" s="3" t="s">
        <v>3</v>
      </c>
      <c r="E14" s="3" t="s">
        <v>0</v>
      </c>
      <c r="F14" s="2">
        <v>250000</v>
      </c>
      <c r="G14" s="2">
        <f t="shared" si="0"/>
        <v>3545000</v>
      </c>
    </row>
    <row r="15" spans="2:12" x14ac:dyDescent="0.25">
      <c r="B15" s="2">
        <f t="shared" si="1"/>
        <v>10</v>
      </c>
      <c r="C15" s="6">
        <v>43513</v>
      </c>
      <c r="D15" s="3" t="s">
        <v>2</v>
      </c>
      <c r="E15" s="3" t="s">
        <v>0</v>
      </c>
      <c r="F15" s="2">
        <v>250000</v>
      </c>
      <c r="G15" s="2">
        <f t="shared" si="0"/>
        <v>3295000</v>
      </c>
    </row>
    <row r="16" spans="2:12" x14ac:dyDescent="0.25">
      <c r="B16" s="2">
        <f t="shared" si="1"/>
        <v>11</v>
      </c>
      <c r="C16" s="6">
        <v>43514</v>
      </c>
      <c r="D16" s="3" t="s">
        <v>1</v>
      </c>
      <c r="E16" s="3" t="s">
        <v>0</v>
      </c>
      <c r="F16" s="2">
        <v>750000</v>
      </c>
      <c r="G16" s="2">
        <f t="shared" si="0"/>
        <v>2545000</v>
      </c>
    </row>
    <row r="17" spans="2:16" x14ac:dyDescent="0.25">
      <c r="B17" s="2" t="str">
        <f t="shared" si="1"/>
        <v/>
      </c>
      <c r="C17" s="17"/>
      <c r="D17" s="3"/>
      <c r="E17" s="3"/>
      <c r="F17" s="2"/>
      <c r="G17" s="2" t="str">
        <f t="shared" si="0"/>
        <v/>
      </c>
      <c r="P17" s="1" t="str">
        <f t="shared" ref="P17" si="2">IF(B17="","",IF(E17="Pengeluaran",G16-F17,G16+F17))</f>
        <v/>
      </c>
    </row>
    <row r="18" spans="2:16" x14ac:dyDescent="0.25">
      <c r="B18" s="2" t="str">
        <f t="shared" si="1"/>
        <v/>
      </c>
      <c r="C18" s="17"/>
      <c r="D18" s="3"/>
      <c r="E18" s="3"/>
      <c r="F18" s="2"/>
      <c r="G18" s="2" t="str">
        <f t="shared" si="0"/>
        <v/>
      </c>
    </row>
    <row r="19" spans="2:16" x14ac:dyDescent="0.25">
      <c r="B19" s="2" t="str">
        <f t="shared" si="1"/>
        <v/>
      </c>
      <c r="C19" s="17"/>
      <c r="D19" s="3"/>
      <c r="E19" s="3"/>
      <c r="F19" s="2"/>
      <c r="G19" s="2" t="str">
        <f t="shared" si="0"/>
        <v/>
      </c>
    </row>
    <row r="20" spans="2:16" x14ac:dyDescent="0.25">
      <c r="B20" s="2" t="str">
        <f t="shared" si="1"/>
        <v/>
      </c>
      <c r="C20" s="17"/>
      <c r="D20" s="3"/>
      <c r="E20" s="3"/>
      <c r="F20" s="2"/>
      <c r="G20" s="2" t="str">
        <f t="shared" si="0"/>
        <v/>
      </c>
    </row>
    <row r="21" spans="2:16" x14ac:dyDescent="0.25">
      <c r="B21" s="2" t="str">
        <f t="shared" si="1"/>
        <v/>
      </c>
      <c r="C21" s="17"/>
      <c r="D21" s="3"/>
      <c r="E21" s="3"/>
      <c r="F21" s="2"/>
      <c r="G21" s="2" t="str">
        <f t="shared" si="0"/>
        <v/>
      </c>
    </row>
    <row r="22" spans="2:16" x14ac:dyDescent="0.25">
      <c r="B22" s="2" t="str">
        <f t="shared" si="1"/>
        <v/>
      </c>
      <c r="C22" s="17"/>
      <c r="D22" s="3"/>
      <c r="E22" s="3"/>
      <c r="F22" s="2"/>
      <c r="G22" s="2" t="str">
        <f t="shared" si="0"/>
        <v/>
      </c>
    </row>
    <row r="23" spans="2:16" x14ac:dyDescent="0.25">
      <c r="B23" s="2" t="str">
        <f t="shared" si="1"/>
        <v/>
      </c>
      <c r="C23" s="17"/>
      <c r="D23" s="3"/>
      <c r="E23" s="3"/>
      <c r="F23" s="2"/>
      <c r="G23" s="2" t="str">
        <f t="shared" si="0"/>
        <v/>
      </c>
    </row>
    <row r="24" spans="2:16" x14ac:dyDescent="0.25">
      <c r="B24" s="2" t="str">
        <f t="shared" si="1"/>
        <v/>
      </c>
      <c r="C24" s="17"/>
      <c r="D24" s="3"/>
      <c r="E24" s="3"/>
      <c r="F24" s="2"/>
      <c r="G24" s="2" t="str">
        <f t="shared" si="0"/>
        <v/>
      </c>
    </row>
    <row r="25" spans="2:16" x14ac:dyDescent="0.25">
      <c r="B25" s="2" t="str">
        <f t="shared" si="1"/>
        <v/>
      </c>
      <c r="C25" s="17"/>
      <c r="D25" s="3"/>
      <c r="E25" s="3"/>
      <c r="F25" s="2"/>
      <c r="G25" s="2" t="str">
        <f t="shared" si="0"/>
        <v/>
      </c>
    </row>
    <row r="26" spans="2:16" x14ac:dyDescent="0.25">
      <c r="B26" s="2" t="str">
        <f t="shared" si="1"/>
        <v/>
      </c>
      <c r="C26" s="17"/>
      <c r="D26" s="3"/>
      <c r="E26" s="3"/>
      <c r="F26" s="2"/>
      <c r="G26" s="2" t="str">
        <f t="shared" si="0"/>
        <v/>
      </c>
    </row>
    <row r="27" spans="2:16" x14ac:dyDescent="0.25">
      <c r="B27" s="2" t="str">
        <f t="shared" si="1"/>
        <v/>
      </c>
      <c r="C27" s="17"/>
      <c r="D27" s="3"/>
      <c r="E27" s="3"/>
      <c r="F27" s="2"/>
      <c r="G27" s="2" t="str">
        <f t="shared" si="0"/>
        <v/>
      </c>
    </row>
    <row r="28" spans="2:16" x14ac:dyDescent="0.25">
      <c r="B28" s="2" t="str">
        <f t="shared" si="1"/>
        <v/>
      </c>
      <c r="C28" s="17"/>
      <c r="D28" s="3"/>
      <c r="E28" s="3"/>
      <c r="F28" s="2"/>
      <c r="G28" s="2" t="str">
        <f t="shared" si="0"/>
        <v/>
      </c>
    </row>
    <row r="29" spans="2:16" x14ac:dyDescent="0.25">
      <c r="B29" s="2" t="str">
        <f t="shared" si="1"/>
        <v/>
      </c>
      <c r="C29" s="17"/>
      <c r="D29" s="3"/>
      <c r="E29" s="3"/>
      <c r="F29" s="2"/>
      <c r="G29" s="2" t="str">
        <f t="shared" si="0"/>
        <v/>
      </c>
    </row>
    <row r="30" spans="2:16" x14ac:dyDescent="0.25">
      <c r="B30" s="2" t="str">
        <f t="shared" si="1"/>
        <v/>
      </c>
      <c r="C30" s="17"/>
      <c r="D30" s="3"/>
      <c r="E30" s="3"/>
      <c r="F30" s="2"/>
      <c r="G30" s="2" t="str">
        <f t="shared" si="0"/>
        <v/>
      </c>
    </row>
    <row r="31" spans="2:16" x14ac:dyDescent="0.25">
      <c r="B31" s="2" t="str">
        <f t="shared" si="1"/>
        <v/>
      </c>
      <c r="C31" s="17"/>
      <c r="D31" s="3"/>
      <c r="E31" s="3"/>
      <c r="F31" s="2"/>
      <c r="G31" s="2" t="str">
        <f t="shared" si="0"/>
        <v/>
      </c>
    </row>
    <row r="32" spans="2:16" x14ac:dyDescent="0.25">
      <c r="B32" s="2" t="str">
        <f t="shared" si="1"/>
        <v/>
      </c>
      <c r="C32" s="17"/>
      <c r="D32" s="3"/>
      <c r="E32" s="3"/>
      <c r="F32" s="2"/>
      <c r="G32" s="2" t="str">
        <f t="shared" si="0"/>
        <v/>
      </c>
    </row>
    <row r="33" spans="2:7" x14ac:dyDescent="0.25">
      <c r="B33" s="2" t="str">
        <f t="shared" si="1"/>
        <v/>
      </c>
      <c r="C33" s="17"/>
      <c r="D33" s="3"/>
      <c r="E33" s="3"/>
      <c r="F33" s="2"/>
      <c r="G33" s="2" t="str">
        <f t="shared" si="0"/>
        <v/>
      </c>
    </row>
    <row r="34" spans="2:7" x14ac:dyDescent="0.25">
      <c r="B34" s="2" t="str">
        <f t="shared" si="1"/>
        <v/>
      </c>
      <c r="C34" s="17"/>
      <c r="D34" s="3"/>
      <c r="E34" s="3"/>
      <c r="F34" s="2"/>
      <c r="G34" s="2" t="str">
        <f t="shared" si="0"/>
        <v/>
      </c>
    </row>
    <row r="35" spans="2:7" x14ac:dyDescent="0.25">
      <c r="B35" s="2" t="str">
        <f t="shared" si="1"/>
        <v/>
      </c>
      <c r="C35" s="17"/>
      <c r="D35" s="3"/>
      <c r="E35" s="3"/>
      <c r="F35" s="2"/>
      <c r="G35" s="2" t="str">
        <f t="shared" si="0"/>
        <v/>
      </c>
    </row>
    <row r="36" spans="2:7" x14ac:dyDescent="0.25">
      <c r="B36" s="2" t="str">
        <f t="shared" si="1"/>
        <v/>
      </c>
      <c r="C36" s="17"/>
      <c r="F36" s="2"/>
      <c r="G36" s="2" t="str">
        <f t="shared" si="0"/>
        <v/>
      </c>
    </row>
    <row r="37" spans="2:7" x14ac:dyDescent="0.25">
      <c r="B37" s="2" t="str">
        <f t="shared" si="1"/>
        <v/>
      </c>
      <c r="C37" s="17"/>
      <c r="F37" s="2"/>
      <c r="G37" s="2" t="str">
        <f t="shared" si="0"/>
        <v/>
      </c>
    </row>
    <row r="38" spans="2:7" x14ac:dyDescent="0.25">
      <c r="B38" s="2" t="str">
        <f t="shared" si="1"/>
        <v/>
      </c>
      <c r="C38" s="17"/>
      <c r="F38" s="2"/>
      <c r="G38" s="2" t="str">
        <f t="shared" si="0"/>
        <v/>
      </c>
    </row>
    <row r="39" spans="2:7" x14ac:dyDescent="0.25">
      <c r="B39" s="2" t="str">
        <f t="shared" si="1"/>
        <v/>
      </c>
      <c r="C39" s="17"/>
      <c r="F39" s="2"/>
      <c r="G39" s="2" t="str">
        <f t="shared" si="0"/>
        <v/>
      </c>
    </row>
    <row r="40" spans="2:7" x14ac:dyDescent="0.25">
      <c r="B40" s="2" t="str">
        <f t="shared" si="1"/>
        <v/>
      </c>
      <c r="C40" s="17"/>
      <c r="F40" s="2"/>
      <c r="G40" s="2" t="str">
        <f t="shared" si="0"/>
        <v/>
      </c>
    </row>
    <row r="41" spans="2:7" x14ac:dyDescent="0.25">
      <c r="B41" s="2" t="str">
        <f t="shared" si="1"/>
        <v/>
      </c>
      <c r="C41" s="17"/>
      <c r="F41" s="2"/>
      <c r="G41" s="2" t="str">
        <f t="shared" si="0"/>
        <v/>
      </c>
    </row>
    <row r="42" spans="2:7" x14ac:dyDescent="0.25">
      <c r="B42" s="2" t="str">
        <f t="shared" si="1"/>
        <v/>
      </c>
      <c r="C42" s="17"/>
      <c r="F42" s="2"/>
      <c r="G42" s="2" t="str">
        <f t="shared" si="0"/>
        <v/>
      </c>
    </row>
    <row r="43" spans="2:7" x14ac:dyDescent="0.25">
      <c r="B43" s="2" t="str">
        <f t="shared" si="1"/>
        <v/>
      </c>
      <c r="C43" s="17"/>
      <c r="F43" s="2"/>
      <c r="G43" s="2" t="str">
        <f t="shared" si="0"/>
        <v/>
      </c>
    </row>
    <row r="44" spans="2:7" x14ac:dyDescent="0.25">
      <c r="B44" s="2" t="str">
        <f t="shared" si="1"/>
        <v/>
      </c>
      <c r="C44" s="17"/>
      <c r="F44" s="2"/>
      <c r="G44" s="2" t="str">
        <f t="shared" si="0"/>
        <v/>
      </c>
    </row>
    <row r="45" spans="2:7" x14ac:dyDescent="0.25">
      <c r="B45" s="2" t="str">
        <f t="shared" si="1"/>
        <v/>
      </c>
      <c r="C45" s="17"/>
      <c r="F45" s="2"/>
      <c r="G45" s="2" t="str">
        <f t="shared" si="0"/>
        <v/>
      </c>
    </row>
    <row r="46" spans="2:7" x14ac:dyDescent="0.25">
      <c r="B46" s="2" t="str">
        <f t="shared" si="1"/>
        <v/>
      </c>
      <c r="C46" s="17"/>
      <c r="F46" s="2"/>
      <c r="G46" s="2" t="str">
        <f t="shared" si="0"/>
        <v/>
      </c>
    </row>
    <row r="47" spans="2:7" x14ac:dyDescent="0.25">
      <c r="B47" s="2" t="str">
        <f t="shared" si="1"/>
        <v/>
      </c>
      <c r="C47" s="17"/>
      <c r="F47" s="2"/>
      <c r="G47" s="2" t="str">
        <f t="shared" si="0"/>
        <v/>
      </c>
    </row>
    <row r="48" spans="2:7" x14ac:dyDescent="0.25">
      <c r="B48" s="2" t="str">
        <f t="shared" si="1"/>
        <v/>
      </c>
      <c r="C48" s="17"/>
      <c r="F48" s="2"/>
      <c r="G48" s="2" t="str">
        <f t="shared" si="0"/>
        <v/>
      </c>
    </row>
    <row r="49" spans="2:7" x14ac:dyDescent="0.25">
      <c r="B49" s="2" t="str">
        <f t="shared" si="1"/>
        <v/>
      </c>
      <c r="C49" s="17"/>
      <c r="F49" s="2"/>
      <c r="G49" s="2" t="str">
        <f t="shared" si="0"/>
        <v/>
      </c>
    </row>
    <row r="50" spans="2:7" x14ac:dyDescent="0.25">
      <c r="B50" s="2" t="str">
        <f t="shared" si="1"/>
        <v/>
      </c>
      <c r="C50" s="17"/>
      <c r="F50" s="2"/>
      <c r="G50" s="2" t="str">
        <f t="shared" si="0"/>
        <v/>
      </c>
    </row>
    <row r="51" spans="2:7" x14ac:dyDescent="0.25">
      <c r="B51" s="2" t="str">
        <f t="shared" si="1"/>
        <v/>
      </c>
      <c r="C51" s="17"/>
      <c r="F51" s="2"/>
      <c r="G51" s="2" t="str">
        <f t="shared" si="0"/>
        <v/>
      </c>
    </row>
    <row r="52" spans="2:7" x14ac:dyDescent="0.25">
      <c r="B52" s="2" t="str">
        <f t="shared" si="1"/>
        <v/>
      </c>
      <c r="C52" s="17"/>
      <c r="F52" s="2"/>
      <c r="G52" s="2" t="str">
        <f t="shared" si="0"/>
        <v/>
      </c>
    </row>
    <row r="53" spans="2:7" x14ac:dyDescent="0.25">
      <c r="B53" s="2" t="str">
        <f t="shared" si="1"/>
        <v/>
      </c>
      <c r="C53" s="17"/>
      <c r="F53" s="2"/>
      <c r="G53" s="2" t="str">
        <f t="shared" si="0"/>
        <v/>
      </c>
    </row>
    <row r="54" spans="2:7" x14ac:dyDescent="0.25">
      <c r="B54" s="2" t="str">
        <f t="shared" si="1"/>
        <v/>
      </c>
      <c r="C54" s="17"/>
      <c r="F54" s="2"/>
      <c r="G54" s="2" t="str">
        <f t="shared" si="0"/>
        <v/>
      </c>
    </row>
    <row r="55" spans="2:7" x14ac:dyDescent="0.25">
      <c r="B55" s="2" t="str">
        <f t="shared" si="1"/>
        <v/>
      </c>
      <c r="C55" s="17"/>
      <c r="F55" s="2"/>
      <c r="G55" s="2" t="str">
        <f t="shared" si="0"/>
        <v/>
      </c>
    </row>
    <row r="56" spans="2:7" ht="19.5" customHeight="1" x14ac:dyDescent="0.25">
      <c r="F56" s="2"/>
      <c r="G56" s="2"/>
    </row>
    <row r="57" spans="2:7" x14ac:dyDescent="0.25">
      <c r="F57" s="2"/>
      <c r="G57" s="2"/>
    </row>
    <row r="58" spans="2:7" x14ac:dyDescent="0.25">
      <c r="F58" s="2"/>
      <c r="G58" s="2"/>
    </row>
    <row r="59" spans="2:7" x14ac:dyDescent="0.25">
      <c r="F59" s="2"/>
      <c r="G59" s="2"/>
    </row>
    <row r="60" spans="2:7" x14ac:dyDescent="0.25">
      <c r="F60" s="2"/>
      <c r="G60" s="2"/>
    </row>
    <row r="61" spans="2:7" x14ac:dyDescent="0.25">
      <c r="F61" s="2"/>
      <c r="G61" s="2"/>
    </row>
    <row r="62" spans="2:7" x14ac:dyDescent="0.25">
      <c r="F62" s="2"/>
      <c r="G62" s="2"/>
    </row>
    <row r="63" spans="2:7" x14ac:dyDescent="0.25">
      <c r="F63" s="2"/>
      <c r="G63" s="2"/>
    </row>
    <row r="64" spans="2:7" x14ac:dyDescent="0.25">
      <c r="F64" s="2"/>
      <c r="G64" s="2"/>
    </row>
    <row r="65" spans="6:7" x14ac:dyDescent="0.25">
      <c r="F65" s="2"/>
      <c r="G65" s="2"/>
    </row>
    <row r="66" spans="6:7" x14ac:dyDescent="0.25">
      <c r="F66" s="2"/>
      <c r="G66" s="2"/>
    </row>
    <row r="67" spans="6:7" x14ac:dyDescent="0.25">
      <c r="F67" s="2"/>
      <c r="G67" s="2"/>
    </row>
    <row r="68" spans="6:7" x14ac:dyDescent="0.25">
      <c r="F68" s="2"/>
      <c r="G68" s="2"/>
    </row>
    <row r="69" spans="6:7" x14ac:dyDescent="0.25">
      <c r="F69" s="2"/>
      <c r="G69" s="2"/>
    </row>
    <row r="70" spans="6:7" x14ac:dyDescent="0.25">
      <c r="F70" s="2"/>
      <c r="G70" s="2"/>
    </row>
    <row r="71" spans="6:7" x14ac:dyDescent="0.25">
      <c r="F71" s="2"/>
      <c r="G71" s="2"/>
    </row>
    <row r="72" spans="6:7" x14ac:dyDescent="0.25">
      <c r="F72" s="2"/>
      <c r="G72" s="2"/>
    </row>
    <row r="73" spans="6:7" x14ac:dyDescent="0.25">
      <c r="F73" s="2"/>
      <c r="G73" s="2"/>
    </row>
    <row r="74" spans="6:7" x14ac:dyDescent="0.25">
      <c r="F74" s="2"/>
      <c r="G74" s="2"/>
    </row>
    <row r="75" spans="6:7" x14ac:dyDescent="0.25">
      <c r="F75" s="2"/>
      <c r="G75" s="2"/>
    </row>
    <row r="76" spans="6:7" x14ac:dyDescent="0.25">
      <c r="F76" s="2"/>
      <c r="G76" s="2"/>
    </row>
    <row r="77" spans="6:7" x14ac:dyDescent="0.25">
      <c r="F77" s="2"/>
      <c r="G77" s="2"/>
    </row>
    <row r="78" spans="6:7" x14ac:dyDescent="0.25">
      <c r="F78" s="2"/>
      <c r="G78" s="2"/>
    </row>
    <row r="79" spans="6:7" x14ac:dyDescent="0.25">
      <c r="F79" s="2"/>
      <c r="G79" s="2"/>
    </row>
    <row r="80" spans="6:7" x14ac:dyDescent="0.25">
      <c r="F80" s="2"/>
      <c r="G80" s="2"/>
    </row>
    <row r="81" spans="6:7" x14ac:dyDescent="0.25">
      <c r="F81" s="2"/>
      <c r="G81" s="2"/>
    </row>
    <row r="82" spans="6:7" x14ac:dyDescent="0.25">
      <c r="F82" s="2"/>
      <c r="G82" s="2"/>
    </row>
    <row r="83" spans="6:7" x14ac:dyDescent="0.25">
      <c r="F83" s="2"/>
      <c r="G83" s="2"/>
    </row>
    <row r="84" spans="6:7" x14ac:dyDescent="0.25">
      <c r="F84" s="2"/>
      <c r="G84" s="2"/>
    </row>
    <row r="85" spans="6:7" x14ac:dyDescent="0.25">
      <c r="F85" s="2"/>
      <c r="G85" s="2"/>
    </row>
    <row r="86" spans="6:7" x14ac:dyDescent="0.25">
      <c r="F86" s="2"/>
      <c r="G86" s="2"/>
    </row>
    <row r="87" spans="6:7" x14ac:dyDescent="0.25">
      <c r="F87" s="2"/>
      <c r="G87" s="2"/>
    </row>
    <row r="88" spans="6:7" x14ac:dyDescent="0.25">
      <c r="F88" s="2"/>
      <c r="G88" s="2"/>
    </row>
    <row r="89" spans="6:7" x14ac:dyDescent="0.25">
      <c r="F89" s="2"/>
      <c r="G89" s="2"/>
    </row>
    <row r="90" spans="6:7" x14ac:dyDescent="0.25">
      <c r="F90" s="2"/>
      <c r="G90" s="2"/>
    </row>
    <row r="91" spans="6:7" x14ac:dyDescent="0.25">
      <c r="F91" s="2"/>
      <c r="G91" s="2"/>
    </row>
    <row r="92" spans="6:7" x14ac:dyDescent="0.25">
      <c r="F92" s="2"/>
      <c r="G92" s="2"/>
    </row>
    <row r="93" spans="6:7" x14ac:dyDescent="0.25">
      <c r="F93" s="2"/>
      <c r="G93" s="2"/>
    </row>
    <row r="94" spans="6:7" x14ac:dyDescent="0.25">
      <c r="F94" s="2"/>
      <c r="G94" s="2"/>
    </row>
    <row r="95" spans="6:7" x14ac:dyDescent="0.25">
      <c r="F95" s="2"/>
      <c r="G95" s="2"/>
    </row>
    <row r="96" spans="6:7" x14ac:dyDescent="0.25">
      <c r="F96" s="2"/>
      <c r="G96" s="2"/>
    </row>
    <row r="97" spans="6:7" x14ac:dyDescent="0.25">
      <c r="F97" s="2"/>
      <c r="G97" s="2"/>
    </row>
    <row r="98" spans="6:7" x14ac:dyDescent="0.25">
      <c r="F98" s="2"/>
      <c r="G98" s="2"/>
    </row>
    <row r="99" spans="6:7" x14ac:dyDescent="0.25">
      <c r="F99" s="2"/>
      <c r="G99" s="2"/>
    </row>
    <row r="100" spans="6:7" x14ac:dyDescent="0.25">
      <c r="F100" s="2"/>
      <c r="G100" s="2"/>
    </row>
    <row r="101" spans="6:7" x14ac:dyDescent="0.25">
      <c r="F101" s="2"/>
      <c r="G101" s="2"/>
    </row>
    <row r="102" spans="6:7" x14ac:dyDescent="0.25">
      <c r="F102" s="2"/>
      <c r="G102" s="2"/>
    </row>
    <row r="103" spans="6:7" x14ac:dyDescent="0.25">
      <c r="F103" s="2"/>
      <c r="G103" s="2"/>
    </row>
    <row r="104" spans="6:7" x14ac:dyDescent="0.25">
      <c r="F104" s="2"/>
      <c r="G104" s="2"/>
    </row>
    <row r="105" spans="6:7" x14ac:dyDescent="0.25">
      <c r="F105" s="2"/>
      <c r="G105" s="2"/>
    </row>
    <row r="106" spans="6:7" x14ac:dyDescent="0.25">
      <c r="F106" s="2"/>
      <c r="G106" s="2"/>
    </row>
    <row r="107" spans="6:7" x14ac:dyDescent="0.25">
      <c r="F107" s="2"/>
      <c r="G107" s="2"/>
    </row>
    <row r="108" spans="6:7" x14ac:dyDescent="0.25">
      <c r="F108" s="2"/>
      <c r="G108" s="2"/>
    </row>
    <row r="109" spans="6:7" x14ac:dyDescent="0.25">
      <c r="F109" s="2"/>
      <c r="G109" s="2"/>
    </row>
    <row r="110" spans="6:7" x14ac:dyDescent="0.25">
      <c r="F110" s="2"/>
      <c r="G110" s="2"/>
    </row>
    <row r="111" spans="6:7" x14ac:dyDescent="0.25">
      <c r="F111" s="2"/>
      <c r="G111" s="2"/>
    </row>
    <row r="112" spans="6:7" x14ac:dyDescent="0.25">
      <c r="F112" s="2"/>
      <c r="G112" s="2"/>
    </row>
    <row r="113" spans="6:7" x14ac:dyDescent="0.25">
      <c r="F113" s="2"/>
      <c r="G113" s="2"/>
    </row>
    <row r="114" spans="6:7" x14ac:dyDescent="0.25">
      <c r="F114" s="2"/>
      <c r="G114" s="2"/>
    </row>
    <row r="115" spans="6:7" x14ac:dyDescent="0.25">
      <c r="F115" s="2"/>
      <c r="G115" s="2"/>
    </row>
    <row r="116" spans="6:7" x14ac:dyDescent="0.25">
      <c r="F116" s="2"/>
      <c r="G116" s="2"/>
    </row>
    <row r="117" spans="6:7" x14ac:dyDescent="0.25">
      <c r="F117" s="2"/>
      <c r="G117" s="2"/>
    </row>
    <row r="118" spans="6:7" x14ac:dyDescent="0.25">
      <c r="F118" s="2"/>
      <c r="G118" s="2"/>
    </row>
    <row r="119" spans="6:7" x14ac:dyDescent="0.25">
      <c r="F119" s="2"/>
      <c r="G119" s="2"/>
    </row>
    <row r="120" spans="6:7" x14ac:dyDescent="0.25">
      <c r="F120" s="2"/>
      <c r="G120" s="2"/>
    </row>
    <row r="121" spans="6:7" x14ac:dyDescent="0.25">
      <c r="F121" s="2"/>
      <c r="G121" s="2"/>
    </row>
    <row r="122" spans="6:7" x14ac:dyDescent="0.25">
      <c r="F122" s="2"/>
      <c r="G122" s="2"/>
    </row>
    <row r="123" spans="6:7" x14ac:dyDescent="0.25">
      <c r="F123" s="2"/>
      <c r="G123" s="2"/>
    </row>
    <row r="124" spans="6:7" x14ac:dyDescent="0.25">
      <c r="F124" s="2"/>
      <c r="G124" s="2"/>
    </row>
    <row r="125" spans="6:7" x14ac:dyDescent="0.25">
      <c r="F125" s="2"/>
      <c r="G125" s="2"/>
    </row>
    <row r="126" spans="6:7" x14ac:dyDescent="0.25">
      <c r="F126" s="2"/>
      <c r="G126" s="2"/>
    </row>
    <row r="127" spans="6:7" x14ac:dyDescent="0.25">
      <c r="F127" s="2"/>
      <c r="G127" s="2"/>
    </row>
    <row r="128" spans="6:7" x14ac:dyDescent="0.25">
      <c r="F128" s="2"/>
      <c r="G128" s="2"/>
    </row>
    <row r="129" spans="6:7" x14ac:dyDescent="0.25">
      <c r="F129" s="2"/>
      <c r="G129" s="2"/>
    </row>
    <row r="130" spans="6:7" x14ac:dyDescent="0.25">
      <c r="F130" s="2"/>
      <c r="G130" s="2"/>
    </row>
    <row r="131" spans="6:7" x14ac:dyDescent="0.25">
      <c r="F131" s="2"/>
      <c r="G131" s="2"/>
    </row>
    <row r="132" spans="6:7" x14ac:dyDescent="0.25">
      <c r="F132" s="2"/>
      <c r="G132" s="2"/>
    </row>
    <row r="133" spans="6:7" x14ac:dyDescent="0.25">
      <c r="F133" s="2"/>
      <c r="G133" s="2"/>
    </row>
    <row r="134" spans="6:7" x14ac:dyDescent="0.25">
      <c r="F134" s="2"/>
      <c r="G134" s="2"/>
    </row>
    <row r="135" spans="6:7" x14ac:dyDescent="0.25">
      <c r="F135" s="2"/>
      <c r="G135" s="2"/>
    </row>
    <row r="136" spans="6:7" x14ac:dyDescent="0.25">
      <c r="F136" s="2"/>
      <c r="G136" s="2"/>
    </row>
    <row r="137" spans="6:7" x14ac:dyDescent="0.25">
      <c r="F137" s="2"/>
      <c r="G137" s="2"/>
    </row>
    <row r="138" spans="6:7" x14ac:dyDescent="0.25">
      <c r="F138" s="2"/>
      <c r="G138" s="2"/>
    </row>
    <row r="139" spans="6:7" x14ac:dyDescent="0.25">
      <c r="F139" s="2"/>
      <c r="G139" s="2"/>
    </row>
    <row r="140" spans="6:7" x14ac:dyDescent="0.25">
      <c r="F140" s="2"/>
      <c r="G140" s="2"/>
    </row>
    <row r="141" spans="6:7" x14ac:dyDescent="0.25">
      <c r="F141" s="2"/>
      <c r="G141" s="2"/>
    </row>
    <row r="142" spans="6:7" x14ac:dyDescent="0.25">
      <c r="F142" s="2"/>
      <c r="G142" s="2"/>
    </row>
    <row r="143" spans="6:7" x14ac:dyDescent="0.25">
      <c r="F143" s="2"/>
      <c r="G143" s="2"/>
    </row>
    <row r="144" spans="6:7" x14ac:dyDescent="0.25">
      <c r="F144" s="2"/>
      <c r="G144" s="2"/>
    </row>
    <row r="145" spans="6:7" x14ac:dyDescent="0.25">
      <c r="F145" s="2"/>
      <c r="G145" s="2"/>
    </row>
    <row r="146" spans="6:7" x14ac:dyDescent="0.25">
      <c r="F146" s="2"/>
      <c r="G146" s="2"/>
    </row>
    <row r="147" spans="6:7" x14ac:dyDescent="0.25">
      <c r="F147" s="2"/>
      <c r="G147" s="2"/>
    </row>
    <row r="148" spans="6:7" x14ac:dyDescent="0.25">
      <c r="F148" s="2"/>
      <c r="G148" s="2"/>
    </row>
    <row r="149" spans="6:7" x14ac:dyDescent="0.25">
      <c r="F149" s="2"/>
      <c r="G149" s="2"/>
    </row>
    <row r="150" spans="6:7" x14ac:dyDescent="0.25">
      <c r="F150" s="2"/>
      <c r="G150" s="2"/>
    </row>
    <row r="151" spans="6:7" x14ac:dyDescent="0.25">
      <c r="F151" s="2"/>
      <c r="G151" s="2"/>
    </row>
    <row r="152" spans="6:7" x14ac:dyDescent="0.25">
      <c r="F152" s="2"/>
      <c r="G152" s="2"/>
    </row>
    <row r="153" spans="6:7" x14ac:dyDescent="0.25">
      <c r="F153" s="2"/>
      <c r="G153" s="2"/>
    </row>
    <row r="154" spans="6:7" x14ac:dyDescent="0.25">
      <c r="F154" s="2"/>
      <c r="G154" s="2"/>
    </row>
    <row r="155" spans="6:7" x14ac:dyDescent="0.25">
      <c r="F155" s="2"/>
      <c r="G155" s="2"/>
    </row>
    <row r="156" spans="6:7" x14ac:dyDescent="0.25">
      <c r="F156" s="2"/>
      <c r="G156" s="2"/>
    </row>
    <row r="157" spans="6:7" x14ac:dyDescent="0.25">
      <c r="F157" s="2"/>
      <c r="G157" s="2"/>
    </row>
    <row r="158" spans="6:7" x14ac:dyDescent="0.25">
      <c r="F158" s="2"/>
      <c r="G158" s="2"/>
    </row>
    <row r="159" spans="6:7" x14ac:dyDescent="0.25">
      <c r="F159" s="2"/>
      <c r="G159" s="2"/>
    </row>
    <row r="160" spans="6:7" x14ac:dyDescent="0.25">
      <c r="F160" s="2"/>
      <c r="G160" s="2"/>
    </row>
    <row r="161" spans="6:7" x14ac:dyDescent="0.25">
      <c r="F161" s="2"/>
      <c r="G161" s="2"/>
    </row>
    <row r="162" spans="6:7" x14ac:dyDescent="0.25">
      <c r="F162" s="2"/>
      <c r="G162" s="2"/>
    </row>
    <row r="163" spans="6:7" x14ac:dyDescent="0.25">
      <c r="F163" s="2"/>
      <c r="G163" s="2"/>
    </row>
    <row r="164" spans="6:7" x14ac:dyDescent="0.25">
      <c r="F164" s="2"/>
      <c r="G164" s="2"/>
    </row>
    <row r="165" spans="6:7" x14ac:dyDescent="0.25">
      <c r="F165" s="2"/>
      <c r="G165" s="2"/>
    </row>
    <row r="166" spans="6:7" x14ac:dyDescent="0.25">
      <c r="F166" s="2"/>
      <c r="G166" s="2"/>
    </row>
    <row r="167" spans="6:7" x14ac:dyDescent="0.25">
      <c r="F167" s="2"/>
      <c r="G167" s="2"/>
    </row>
    <row r="168" spans="6:7" x14ac:dyDescent="0.25">
      <c r="F168" s="2"/>
      <c r="G168" s="2"/>
    </row>
    <row r="169" spans="6:7" x14ac:dyDescent="0.25">
      <c r="F169" s="2"/>
      <c r="G169" s="2"/>
    </row>
    <row r="170" spans="6:7" x14ac:dyDescent="0.25">
      <c r="F170" s="2"/>
      <c r="G170" s="2"/>
    </row>
    <row r="171" spans="6:7" x14ac:dyDescent="0.25">
      <c r="F171" s="2"/>
      <c r="G171" s="2"/>
    </row>
    <row r="172" spans="6:7" x14ac:dyDescent="0.25">
      <c r="F172" s="2"/>
      <c r="G172" s="2"/>
    </row>
    <row r="173" spans="6:7" x14ac:dyDescent="0.25">
      <c r="F173" s="2"/>
      <c r="G173" s="2"/>
    </row>
    <row r="174" spans="6:7" x14ac:dyDescent="0.25">
      <c r="F174" s="2"/>
      <c r="G174" s="2"/>
    </row>
    <row r="175" spans="6:7" x14ac:dyDescent="0.25">
      <c r="F175" s="2"/>
      <c r="G175" s="2"/>
    </row>
    <row r="176" spans="6:7" x14ac:dyDescent="0.25">
      <c r="F176" s="2"/>
      <c r="G176" s="2"/>
    </row>
    <row r="177" spans="6:7" x14ac:dyDescent="0.25">
      <c r="F177" s="2"/>
      <c r="G177" s="2"/>
    </row>
    <row r="178" spans="6:7" x14ac:dyDescent="0.25">
      <c r="F178" s="2"/>
      <c r="G178" s="2"/>
    </row>
    <row r="179" spans="6:7" x14ac:dyDescent="0.25">
      <c r="F179" s="2"/>
      <c r="G179" s="2"/>
    </row>
    <row r="180" spans="6:7" x14ac:dyDescent="0.25">
      <c r="F180" s="2"/>
      <c r="G180" s="2"/>
    </row>
    <row r="181" spans="6:7" x14ac:dyDescent="0.25">
      <c r="F181" s="2"/>
      <c r="G181" s="2"/>
    </row>
    <row r="182" spans="6:7" x14ac:dyDescent="0.25">
      <c r="F182" s="2"/>
      <c r="G182" s="2"/>
    </row>
    <row r="183" spans="6:7" x14ac:dyDescent="0.25">
      <c r="F183" s="2"/>
      <c r="G183" s="2"/>
    </row>
    <row r="184" spans="6:7" x14ac:dyDescent="0.25">
      <c r="F184" s="2"/>
      <c r="G184" s="2"/>
    </row>
    <row r="185" spans="6:7" x14ac:dyDescent="0.25">
      <c r="F185" s="2"/>
      <c r="G185" s="2"/>
    </row>
    <row r="186" spans="6:7" x14ac:dyDescent="0.25">
      <c r="F186" s="2"/>
      <c r="G186" s="2"/>
    </row>
    <row r="187" spans="6:7" x14ac:dyDescent="0.25">
      <c r="F187" s="2"/>
      <c r="G187" s="2"/>
    </row>
    <row r="188" spans="6:7" x14ac:dyDescent="0.25">
      <c r="F188" s="2"/>
      <c r="G188" s="2"/>
    </row>
    <row r="189" spans="6:7" x14ac:dyDescent="0.25">
      <c r="F189" s="2"/>
      <c r="G189" s="2"/>
    </row>
    <row r="190" spans="6:7" x14ac:dyDescent="0.25">
      <c r="F190" s="2"/>
      <c r="G190" s="2"/>
    </row>
    <row r="191" spans="6:7" x14ac:dyDescent="0.25">
      <c r="F191" s="2"/>
      <c r="G191" s="2"/>
    </row>
    <row r="192" spans="6:7" x14ac:dyDescent="0.25">
      <c r="F192" s="2"/>
      <c r="G192" s="2"/>
    </row>
    <row r="193" spans="6:7" x14ac:dyDescent="0.25">
      <c r="F193" s="2"/>
      <c r="G193" s="2"/>
    </row>
    <row r="194" spans="6:7" x14ac:dyDescent="0.25">
      <c r="F194" s="2"/>
      <c r="G194" s="2"/>
    </row>
    <row r="195" spans="6:7" x14ac:dyDescent="0.25">
      <c r="F195" s="2"/>
      <c r="G195" s="2"/>
    </row>
    <row r="196" spans="6:7" x14ac:dyDescent="0.25">
      <c r="F196" s="2"/>
      <c r="G196" s="2"/>
    </row>
    <row r="197" spans="6:7" x14ac:dyDescent="0.25">
      <c r="F197" s="2"/>
      <c r="G197" s="2"/>
    </row>
    <row r="198" spans="6:7" x14ac:dyDescent="0.25">
      <c r="F198" s="2"/>
      <c r="G198" s="2"/>
    </row>
    <row r="199" spans="6:7" x14ac:dyDescent="0.25">
      <c r="F199" s="2"/>
      <c r="G199" s="2"/>
    </row>
    <row r="200" spans="6:7" x14ac:dyDescent="0.25">
      <c r="F200" s="2"/>
      <c r="G200" s="2"/>
    </row>
    <row r="201" spans="6:7" x14ac:dyDescent="0.25">
      <c r="F201" s="2"/>
      <c r="G201" s="2"/>
    </row>
    <row r="202" spans="6:7" x14ac:dyDescent="0.25">
      <c r="F202" s="2"/>
      <c r="G202" s="2"/>
    </row>
    <row r="203" spans="6:7" x14ac:dyDescent="0.25">
      <c r="F203" s="2"/>
      <c r="G203" s="2"/>
    </row>
    <row r="204" spans="6:7" x14ac:dyDescent="0.25">
      <c r="F204" s="2"/>
      <c r="G204" s="2"/>
    </row>
    <row r="205" spans="6:7" x14ac:dyDescent="0.25">
      <c r="F205" s="2"/>
      <c r="G205" s="2"/>
    </row>
    <row r="206" spans="6:7" x14ac:dyDescent="0.25">
      <c r="F206" s="2"/>
      <c r="G206" s="2"/>
    </row>
    <row r="207" spans="6:7" x14ac:dyDescent="0.25">
      <c r="F207" s="2"/>
      <c r="G207" s="2"/>
    </row>
    <row r="208" spans="6:7" x14ac:dyDescent="0.25">
      <c r="F208" s="2"/>
      <c r="G208" s="2"/>
    </row>
    <row r="209" spans="6:7" x14ac:dyDescent="0.25">
      <c r="F209" s="2"/>
      <c r="G209" s="2"/>
    </row>
    <row r="210" spans="6:7" x14ac:dyDescent="0.25">
      <c r="F210" s="2"/>
      <c r="G210" s="2"/>
    </row>
    <row r="211" spans="6:7" x14ac:dyDescent="0.25">
      <c r="F211" s="2"/>
      <c r="G211" s="2"/>
    </row>
    <row r="212" spans="6:7" x14ac:dyDescent="0.25">
      <c r="F212" s="2"/>
      <c r="G212" s="2"/>
    </row>
    <row r="213" spans="6:7" x14ac:dyDescent="0.25">
      <c r="F213" s="2"/>
      <c r="G213" s="2"/>
    </row>
    <row r="214" spans="6:7" x14ac:dyDescent="0.25">
      <c r="F214" s="2"/>
      <c r="G214" s="2"/>
    </row>
    <row r="215" spans="6:7" x14ac:dyDescent="0.25">
      <c r="F215" s="2"/>
      <c r="G215" s="2"/>
    </row>
    <row r="216" spans="6:7" x14ac:dyDescent="0.25">
      <c r="F216" s="2"/>
      <c r="G216" s="2"/>
    </row>
    <row r="217" spans="6:7" x14ac:dyDescent="0.25">
      <c r="F217" s="2"/>
      <c r="G217" s="2"/>
    </row>
    <row r="218" spans="6:7" x14ac:dyDescent="0.25">
      <c r="F218" s="2"/>
      <c r="G218" s="2"/>
    </row>
    <row r="219" spans="6:7" x14ac:dyDescent="0.25">
      <c r="F219" s="2"/>
      <c r="G219" s="2"/>
    </row>
    <row r="220" spans="6:7" x14ac:dyDescent="0.25">
      <c r="F220" s="2"/>
      <c r="G220" s="2"/>
    </row>
    <row r="221" spans="6:7" x14ac:dyDescent="0.25">
      <c r="F221" s="2"/>
      <c r="G221" s="2"/>
    </row>
    <row r="222" spans="6:7" x14ac:dyDescent="0.25">
      <c r="F222" s="2"/>
      <c r="G222" s="2"/>
    </row>
    <row r="223" spans="6:7" x14ac:dyDescent="0.25">
      <c r="F223" s="2"/>
      <c r="G223" s="2"/>
    </row>
    <row r="224" spans="6:7" x14ac:dyDescent="0.25">
      <c r="F224" s="2"/>
      <c r="G224" s="2"/>
    </row>
    <row r="225" spans="6:7" x14ac:dyDescent="0.25">
      <c r="F225" s="2"/>
      <c r="G225" s="2"/>
    </row>
    <row r="226" spans="6:7" x14ac:dyDescent="0.25">
      <c r="F226" s="2"/>
      <c r="G226" s="2"/>
    </row>
    <row r="227" spans="6:7" x14ac:dyDescent="0.25">
      <c r="F227" s="2"/>
      <c r="G227" s="2"/>
    </row>
    <row r="228" spans="6:7" x14ac:dyDescent="0.25">
      <c r="F228" s="2"/>
      <c r="G228" s="2"/>
    </row>
    <row r="229" spans="6:7" x14ac:dyDescent="0.25">
      <c r="F229" s="2"/>
      <c r="G229" s="2"/>
    </row>
    <row r="230" spans="6:7" x14ac:dyDescent="0.25">
      <c r="F230" s="2"/>
      <c r="G230" s="2"/>
    </row>
    <row r="231" spans="6:7" x14ac:dyDescent="0.25">
      <c r="F231" s="2"/>
      <c r="G231" s="2"/>
    </row>
    <row r="232" spans="6:7" x14ac:dyDescent="0.25">
      <c r="F232" s="2"/>
      <c r="G232" s="2"/>
    </row>
    <row r="233" spans="6:7" x14ac:dyDescent="0.25">
      <c r="F233" s="2"/>
      <c r="G233" s="2"/>
    </row>
    <row r="234" spans="6:7" x14ac:dyDescent="0.25">
      <c r="F234" s="2"/>
      <c r="G234" s="2"/>
    </row>
    <row r="235" spans="6:7" x14ac:dyDescent="0.25">
      <c r="F235" s="2"/>
      <c r="G235" s="2"/>
    </row>
    <row r="236" spans="6:7" x14ac:dyDescent="0.25">
      <c r="F236" s="2"/>
      <c r="G236" s="2"/>
    </row>
    <row r="237" spans="6:7" x14ac:dyDescent="0.25">
      <c r="F237" s="2"/>
      <c r="G237" s="2"/>
    </row>
    <row r="238" spans="6:7" x14ac:dyDescent="0.25">
      <c r="F238" s="2"/>
      <c r="G238" s="2"/>
    </row>
    <row r="239" spans="6:7" x14ac:dyDescent="0.25">
      <c r="F239" s="2"/>
      <c r="G239" s="2"/>
    </row>
    <row r="240" spans="6:7" x14ac:dyDescent="0.25">
      <c r="F240" s="2"/>
      <c r="G240" s="2"/>
    </row>
    <row r="241" spans="6:7" x14ac:dyDescent="0.25">
      <c r="F241" s="2"/>
      <c r="G241" s="2"/>
    </row>
    <row r="242" spans="6:7" x14ac:dyDescent="0.25">
      <c r="F242" s="2"/>
      <c r="G242" s="2"/>
    </row>
    <row r="243" spans="6:7" x14ac:dyDescent="0.25">
      <c r="F243" s="2"/>
      <c r="G243" s="2"/>
    </row>
    <row r="244" spans="6:7" x14ac:dyDescent="0.25">
      <c r="F244" s="2"/>
      <c r="G244" s="2"/>
    </row>
    <row r="245" spans="6:7" x14ac:dyDescent="0.25">
      <c r="F245" s="2"/>
      <c r="G245" s="2"/>
    </row>
    <row r="246" spans="6:7" x14ac:dyDescent="0.25">
      <c r="F246" s="2"/>
      <c r="G246" s="2"/>
    </row>
    <row r="247" spans="6:7" x14ac:dyDescent="0.25">
      <c r="F247" s="2"/>
      <c r="G247" s="2"/>
    </row>
    <row r="248" spans="6:7" x14ac:dyDescent="0.25">
      <c r="F248" s="2"/>
      <c r="G248" s="2"/>
    </row>
    <row r="249" spans="6:7" x14ac:dyDescent="0.25">
      <c r="F249" s="2"/>
      <c r="G249" s="2"/>
    </row>
    <row r="250" spans="6:7" x14ac:dyDescent="0.25">
      <c r="F250" s="2"/>
      <c r="G250" s="2"/>
    </row>
    <row r="251" spans="6:7" x14ac:dyDescent="0.25">
      <c r="F251" s="2"/>
      <c r="G251" s="2"/>
    </row>
    <row r="252" spans="6:7" x14ac:dyDescent="0.25">
      <c r="F252" s="2"/>
      <c r="G252" s="2"/>
    </row>
    <row r="253" spans="6:7" x14ac:dyDescent="0.25">
      <c r="F253" s="2"/>
      <c r="G253" s="2"/>
    </row>
    <row r="254" spans="6:7" x14ac:dyDescent="0.25">
      <c r="F254" s="2"/>
      <c r="G254" s="2"/>
    </row>
    <row r="255" spans="6:7" x14ac:dyDescent="0.25">
      <c r="F255" s="2"/>
      <c r="G255" s="2"/>
    </row>
    <row r="256" spans="6:7" x14ac:dyDescent="0.25">
      <c r="F256" s="2"/>
      <c r="G256" s="2"/>
    </row>
    <row r="257" spans="6:7" x14ac:dyDescent="0.25">
      <c r="F257" s="2"/>
      <c r="G257" s="2"/>
    </row>
    <row r="258" spans="6:7" x14ac:dyDescent="0.25">
      <c r="F258" s="2"/>
      <c r="G258" s="2"/>
    </row>
    <row r="259" spans="6:7" x14ac:dyDescent="0.25">
      <c r="F259" s="2"/>
      <c r="G259" s="2"/>
    </row>
    <row r="260" spans="6:7" x14ac:dyDescent="0.25">
      <c r="F260" s="2"/>
      <c r="G260" s="2"/>
    </row>
    <row r="261" spans="6:7" x14ac:dyDescent="0.25">
      <c r="F261" s="2"/>
      <c r="G261" s="2"/>
    </row>
    <row r="262" spans="6:7" x14ac:dyDescent="0.25">
      <c r="F262" s="2"/>
      <c r="G262" s="2"/>
    </row>
    <row r="263" spans="6:7" x14ac:dyDescent="0.25">
      <c r="F263" s="2"/>
      <c r="G263" s="2"/>
    </row>
    <row r="264" spans="6:7" x14ac:dyDescent="0.25">
      <c r="F264" s="2"/>
      <c r="G264" s="2"/>
    </row>
    <row r="265" spans="6:7" x14ac:dyDescent="0.25">
      <c r="F265" s="2"/>
      <c r="G265" s="2"/>
    </row>
    <row r="266" spans="6:7" x14ac:dyDescent="0.25">
      <c r="F266" s="2"/>
      <c r="G266" s="2"/>
    </row>
    <row r="267" spans="6:7" x14ac:dyDescent="0.25">
      <c r="F267" s="2"/>
      <c r="G267" s="2"/>
    </row>
    <row r="268" spans="6:7" x14ac:dyDescent="0.25">
      <c r="F268" s="2"/>
      <c r="G268" s="2"/>
    </row>
    <row r="269" spans="6:7" x14ac:dyDescent="0.25">
      <c r="F269" s="2"/>
      <c r="G269" s="2"/>
    </row>
    <row r="270" spans="6:7" x14ac:dyDescent="0.25">
      <c r="F270" s="2"/>
      <c r="G270" s="2"/>
    </row>
    <row r="271" spans="6:7" x14ac:dyDescent="0.25">
      <c r="F271" s="2"/>
      <c r="G271" s="2"/>
    </row>
    <row r="272" spans="6:7" x14ac:dyDescent="0.25">
      <c r="F272" s="2"/>
      <c r="G272" s="2"/>
    </row>
    <row r="273" spans="6:7" x14ac:dyDescent="0.25">
      <c r="F273" s="2"/>
      <c r="G273" s="2"/>
    </row>
    <row r="274" spans="6:7" x14ac:dyDescent="0.25">
      <c r="F274" s="2"/>
      <c r="G274" s="2"/>
    </row>
    <row r="275" spans="6:7" x14ac:dyDescent="0.25">
      <c r="F275" s="2"/>
      <c r="G275" s="2"/>
    </row>
    <row r="276" spans="6:7" x14ac:dyDescent="0.25">
      <c r="F276" s="2"/>
      <c r="G276" s="2"/>
    </row>
    <row r="277" spans="6:7" x14ac:dyDescent="0.25">
      <c r="F277" s="2"/>
      <c r="G277" s="2"/>
    </row>
    <row r="278" spans="6:7" x14ac:dyDescent="0.25">
      <c r="F278" s="2"/>
      <c r="G278" s="2"/>
    </row>
    <row r="279" spans="6:7" x14ac:dyDescent="0.25">
      <c r="F279" s="2"/>
      <c r="G279" s="2"/>
    </row>
    <row r="280" spans="6:7" x14ac:dyDescent="0.25">
      <c r="F280" s="2"/>
      <c r="G280" s="2"/>
    </row>
    <row r="281" spans="6:7" x14ac:dyDescent="0.25">
      <c r="F281" s="2"/>
      <c r="G281" s="2"/>
    </row>
    <row r="282" spans="6:7" x14ac:dyDescent="0.25">
      <c r="F282" s="2"/>
      <c r="G282" s="2"/>
    </row>
    <row r="283" spans="6:7" x14ac:dyDescent="0.25">
      <c r="F283" s="2"/>
      <c r="G283" s="2"/>
    </row>
    <row r="284" spans="6:7" x14ac:dyDescent="0.25">
      <c r="F284" s="2"/>
      <c r="G284" s="2"/>
    </row>
    <row r="285" spans="6:7" x14ac:dyDescent="0.25">
      <c r="F285" s="2"/>
      <c r="G285" s="2"/>
    </row>
    <row r="286" spans="6:7" x14ac:dyDescent="0.25">
      <c r="F286" s="2"/>
      <c r="G286" s="2"/>
    </row>
    <row r="287" spans="6:7" x14ac:dyDescent="0.25">
      <c r="F287" s="2"/>
      <c r="G287" s="2"/>
    </row>
    <row r="288" spans="6:7" x14ac:dyDescent="0.25">
      <c r="F288" s="2"/>
      <c r="G288" s="2"/>
    </row>
    <row r="289" spans="6:7" x14ac:dyDescent="0.25">
      <c r="F289" s="2"/>
      <c r="G289" s="2"/>
    </row>
    <row r="290" spans="6:7" x14ac:dyDescent="0.25">
      <c r="F290" s="2"/>
      <c r="G290" s="2"/>
    </row>
    <row r="291" spans="6:7" x14ac:dyDescent="0.25">
      <c r="F291" s="2"/>
      <c r="G291" s="2"/>
    </row>
    <row r="292" spans="6:7" x14ac:dyDescent="0.25">
      <c r="F292" s="2"/>
      <c r="G292" s="2"/>
    </row>
    <row r="293" spans="6:7" x14ac:dyDescent="0.25">
      <c r="F293" s="2"/>
      <c r="G293" s="2"/>
    </row>
    <row r="294" spans="6:7" x14ac:dyDescent="0.25">
      <c r="F294" s="2"/>
      <c r="G294" s="2"/>
    </row>
    <row r="295" spans="6:7" x14ac:dyDescent="0.25">
      <c r="F295" s="2"/>
      <c r="G295" s="2"/>
    </row>
    <row r="296" spans="6:7" x14ac:dyDescent="0.25">
      <c r="F296" s="2"/>
      <c r="G296" s="2"/>
    </row>
    <row r="297" spans="6:7" x14ac:dyDescent="0.25">
      <c r="F297" s="2"/>
      <c r="G297" s="2"/>
    </row>
    <row r="298" spans="6:7" x14ac:dyDescent="0.25">
      <c r="F298" s="2"/>
      <c r="G298" s="2"/>
    </row>
    <row r="299" spans="6:7" x14ac:dyDescent="0.25">
      <c r="F299" s="2"/>
      <c r="G299" s="2"/>
    </row>
    <row r="300" spans="6:7" x14ac:dyDescent="0.25">
      <c r="F300" s="2"/>
      <c r="G300" s="2"/>
    </row>
    <row r="301" spans="6:7" x14ac:dyDescent="0.25">
      <c r="F301" s="2"/>
      <c r="G301" s="2"/>
    </row>
    <row r="302" spans="6:7" x14ac:dyDescent="0.25">
      <c r="F302" s="2"/>
      <c r="G302" s="2"/>
    </row>
    <row r="303" spans="6:7" x14ac:dyDescent="0.25">
      <c r="F303" s="2"/>
      <c r="G303" s="2"/>
    </row>
    <row r="304" spans="6:7" x14ac:dyDescent="0.25">
      <c r="F304" s="2"/>
      <c r="G304" s="2"/>
    </row>
    <row r="305" spans="6:7" x14ac:dyDescent="0.25">
      <c r="F305" s="2"/>
      <c r="G305" s="2"/>
    </row>
    <row r="306" spans="6:7" x14ac:dyDescent="0.25">
      <c r="F306" s="2"/>
      <c r="G306" s="2"/>
    </row>
    <row r="307" spans="6:7" x14ac:dyDescent="0.25">
      <c r="F307" s="2"/>
      <c r="G307" s="2"/>
    </row>
    <row r="308" spans="6:7" x14ac:dyDescent="0.25">
      <c r="F308" s="2"/>
      <c r="G308" s="2"/>
    </row>
    <row r="309" spans="6:7" x14ac:dyDescent="0.25">
      <c r="F309" s="2"/>
      <c r="G309" s="2"/>
    </row>
    <row r="310" spans="6:7" x14ac:dyDescent="0.25">
      <c r="F310" s="2"/>
      <c r="G310" s="2"/>
    </row>
    <row r="311" spans="6:7" x14ac:dyDescent="0.25">
      <c r="F311" s="2"/>
      <c r="G311" s="2"/>
    </row>
    <row r="312" spans="6:7" x14ac:dyDescent="0.25">
      <c r="F312" s="2"/>
      <c r="G312" s="2"/>
    </row>
    <row r="313" spans="6:7" x14ac:dyDescent="0.25">
      <c r="F313" s="2"/>
      <c r="G313" s="2"/>
    </row>
    <row r="314" spans="6:7" x14ac:dyDescent="0.25">
      <c r="F314" s="2"/>
      <c r="G314" s="2"/>
    </row>
    <row r="315" spans="6:7" x14ac:dyDescent="0.25">
      <c r="F315" s="2"/>
      <c r="G315" s="2"/>
    </row>
    <row r="316" spans="6:7" x14ac:dyDescent="0.25">
      <c r="F316" s="2"/>
      <c r="G316" s="2"/>
    </row>
    <row r="317" spans="6:7" x14ac:dyDescent="0.25">
      <c r="F317" s="2"/>
      <c r="G317" s="2"/>
    </row>
    <row r="318" spans="6:7" x14ac:dyDescent="0.25">
      <c r="F318" s="2"/>
      <c r="G318" s="2"/>
    </row>
    <row r="319" spans="6:7" x14ac:dyDescent="0.25">
      <c r="F319" s="2"/>
      <c r="G319" s="2"/>
    </row>
    <row r="320" spans="6:7" x14ac:dyDescent="0.25">
      <c r="F320" s="2"/>
      <c r="G320" s="2"/>
    </row>
    <row r="321" spans="6:7" x14ac:dyDescent="0.25">
      <c r="F321" s="2"/>
      <c r="G321" s="2"/>
    </row>
    <row r="322" spans="6:7" x14ac:dyDescent="0.25">
      <c r="F322" s="2"/>
      <c r="G322" s="2"/>
    </row>
    <row r="323" spans="6:7" x14ac:dyDescent="0.25">
      <c r="F323" s="2"/>
      <c r="G323" s="2"/>
    </row>
  </sheetData>
  <mergeCells count="2">
    <mergeCell ref="B5:F5"/>
    <mergeCell ref="B3:G3"/>
  </mergeCells>
  <conditionalFormatting sqref="B6:G55">
    <cfRule type="notContainsBlanks" dxfId="12" priority="1">
      <formula>LEN(TRIM(B6))&gt;0</formula>
    </cfRule>
  </conditionalFormatting>
  <dataValidations count="1">
    <dataValidation type="list" allowBlank="1" showInputMessage="1" showErrorMessage="1" sqref="E6:E55">
      <formula1>$L$6:$L$7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3"/>
  <sheetViews>
    <sheetView showGridLines="0" workbookViewId="0">
      <selection activeCell="J8" sqref="J8"/>
    </sheetView>
  </sheetViews>
  <sheetFormatPr defaultRowHeight="15" x14ac:dyDescent="0.25"/>
  <cols>
    <col min="1" max="1" width="5.85546875" style="1" customWidth="1"/>
    <col min="2" max="2" width="5.5703125" style="1" customWidth="1"/>
    <col min="3" max="3" width="12.140625" style="1" customWidth="1"/>
    <col min="4" max="4" width="23.85546875" style="1" customWidth="1"/>
    <col min="5" max="5" width="15" style="1" customWidth="1"/>
    <col min="6" max="7" width="13" style="1" customWidth="1"/>
    <col min="8" max="8" width="4.7109375" style="1" customWidth="1"/>
    <col min="9" max="9" width="14.5703125" style="1" customWidth="1"/>
    <col min="10" max="10" width="10.5703125" style="1" customWidth="1"/>
    <col min="11" max="11" width="4.7109375" style="1" customWidth="1"/>
    <col min="12" max="12" width="13.85546875" style="1" customWidth="1"/>
    <col min="13" max="16384" width="9.140625" style="1"/>
  </cols>
  <sheetData>
    <row r="1" spans="2:12" ht="19.5" customHeight="1" x14ac:dyDescent="0.25"/>
    <row r="2" spans="2:12" ht="18.75" x14ac:dyDescent="0.25">
      <c r="B2" s="28" t="s">
        <v>62</v>
      </c>
    </row>
    <row r="3" spans="2:12" ht="15" customHeight="1" x14ac:dyDescent="0.25">
      <c r="B3" s="279" t="str">
        <f>"Periode "&amp;TEXT(DATE(YEAR(C6),MONTH(C6),DAY(1)),"dd mmmm yyy")&amp;" s.d. "&amp;TEXT(MAX(C6:C55),"dd mmmm yyy")</f>
        <v>Periode 01 Februari 2019 s.d. 18 Februari 2019</v>
      </c>
      <c r="C3" s="279"/>
      <c r="D3" s="279"/>
      <c r="E3" s="279"/>
      <c r="F3" s="279"/>
      <c r="G3" s="279"/>
    </row>
    <row r="4" spans="2:12" x14ac:dyDescent="0.25">
      <c r="B4" s="18" t="s">
        <v>19</v>
      </c>
      <c r="C4" s="19" t="s">
        <v>18</v>
      </c>
      <c r="D4" s="19" t="s">
        <v>17</v>
      </c>
      <c r="E4" s="19" t="s">
        <v>16</v>
      </c>
      <c r="F4" s="19" t="s">
        <v>15</v>
      </c>
      <c r="G4" s="18" t="s">
        <v>14</v>
      </c>
      <c r="I4" s="29" t="s">
        <v>67</v>
      </c>
    </row>
    <row r="5" spans="2:12" x14ac:dyDescent="0.25">
      <c r="B5" s="276" t="s">
        <v>13</v>
      </c>
      <c r="C5" s="277"/>
      <c r="D5" s="277"/>
      <c r="E5" s="277"/>
      <c r="F5" s="278"/>
      <c r="G5" s="20">
        <v>1250000</v>
      </c>
      <c r="I5" s="44" t="s">
        <v>37</v>
      </c>
      <c r="J5" s="24">
        <f>G5</f>
        <v>1250000</v>
      </c>
      <c r="L5" s="43"/>
    </row>
    <row r="6" spans="2:12" x14ac:dyDescent="0.25">
      <c r="B6" s="2">
        <f>IF(D6="","",1)</f>
        <v>1</v>
      </c>
      <c r="C6" s="6">
        <v>43497</v>
      </c>
      <c r="D6" s="3" t="s">
        <v>12</v>
      </c>
      <c r="E6" s="3" t="s">
        <v>11</v>
      </c>
      <c r="F6" s="2">
        <v>6000000</v>
      </c>
      <c r="G6" s="2">
        <f>IF(B6="","",IF(E6="Penerimaan",G5+F6,G5-F6))</f>
        <v>7250000</v>
      </c>
      <c r="I6" s="44" t="s">
        <v>11</v>
      </c>
      <c r="J6" s="24">
        <f>SUMIF(E$6:E$55,I6,F$6:F$55)</f>
        <v>6000000</v>
      </c>
    </row>
    <row r="7" spans="2:12" x14ac:dyDescent="0.25">
      <c r="B7" s="2">
        <f>IF(D7="","",B6+1)</f>
        <v>2</v>
      </c>
      <c r="C7" s="6">
        <v>43497</v>
      </c>
      <c r="D7" s="3" t="s">
        <v>10</v>
      </c>
      <c r="E7" s="3" t="s">
        <v>0</v>
      </c>
      <c r="F7" s="2">
        <v>1250000</v>
      </c>
      <c r="G7" s="2">
        <f t="shared" ref="G7:G55" si="0">IF(B7="","",IF(E7="Penerimaan",G6+F7,G6-F7))</f>
        <v>6000000</v>
      </c>
      <c r="I7" s="44" t="s">
        <v>0</v>
      </c>
      <c r="J7" s="24">
        <f>SUMIF(E$6:E$55,I7,F$6:F$55)</f>
        <v>4705000</v>
      </c>
    </row>
    <row r="8" spans="2:12" x14ac:dyDescent="0.25">
      <c r="B8" s="2">
        <f t="shared" ref="B8:B55" si="1">IF(D8="","",B7+1)</f>
        <v>3</v>
      </c>
      <c r="C8" s="6">
        <v>43498</v>
      </c>
      <c r="D8" s="3" t="s">
        <v>9</v>
      </c>
      <c r="E8" s="3" t="s">
        <v>0</v>
      </c>
      <c r="F8" s="2">
        <v>250000</v>
      </c>
      <c r="G8" s="2">
        <f t="shared" si="0"/>
        <v>5750000</v>
      </c>
      <c r="I8" s="25" t="s">
        <v>61</v>
      </c>
      <c r="J8" s="26">
        <f>J5+J6-J7</f>
        <v>2545000</v>
      </c>
    </row>
    <row r="9" spans="2:12" x14ac:dyDescent="0.25">
      <c r="B9" s="2">
        <f t="shared" si="1"/>
        <v>4</v>
      </c>
      <c r="C9" s="6">
        <v>43500</v>
      </c>
      <c r="D9" s="3" t="s">
        <v>8</v>
      </c>
      <c r="E9" s="3" t="s">
        <v>0</v>
      </c>
      <c r="F9" s="2">
        <v>102500</v>
      </c>
      <c r="G9" s="2">
        <f t="shared" si="0"/>
        <v>5647500</v>
      </c>
    </row>
    <row r="10" spans="2:12" x14ac:dyDescent="0.25">
      <c r="B10" s="2">
        <f t="shared" si="1"/>
        <v>5</v>
      </c>
      <c r="C10" s="6">
        <v>43502</v>
      </c>
      <c r="D10" s="3" t="s">
        <v>7</v>
      </c>
      <c r="E10" s="3" t="s">
        <v>0</v>
      </c>
      <c r="F10" s="2">
        <v>502500</v>
      </c>
      <c r="G10" s="2">
        <f t="shared" si="0"/>
        <v>5145000</v>
      </c>
    </row>
    <row r="11" spans="2:12" x14ac:dyDescent="0.25">
      <c r="B11" s="2">
        <f t="shared" si="1"/>
        <v>6</v>
      </c>
      <c r="C11" s="6">
        <v>43505</v>
      </c>
      <c r="D11" s="3" t="s">
        <v>6</v>
      </c>
      <c r="E11" s="3" t="s">
        <v>0</v>
      </c>
      <c r="F11" s="2">
        <v>200000</v>
      </c>
      <c r="G11" s="2">
        <f t="shared" si="0"/>
        <v>4945000</v>
      </c>
      <c r="I11" s="27"/>
    </row>
    <row r="12" spans="2:12" x14ac:dyDescent="0.25">
      <c r="B12" s="2">
        <f t="shared" si="1"/>
        <v>7</v>
      </c>
      <c r="C12" s="6">
        <v>43506</v>
      </c>
      <c r="D12" s="3" t="s">
        <v>5</v>
      </c>
      <c r="E12" s="3" t="s">
        <v>0</v>
      </c>
      <c r="F12" s="2">
        <v>150000</v>
      </c>
      <c r="G12" s="2">
        <f t="shared" si="0"/>
        <v>4795000</v>
      </c>
    </row>
    <row r="13" spans="2:12" x14ac:dyDescent="0.25">
      <c r="B13" s="2">
        <f t="shared" si="1"/>
        <v>8</v>
      </c>
      <c r="C13" s="6">
        <v>43507</v>
      </c>
      <c r="D13" s="3" t="s">
        <v>4</v>
      </c>
      <c r="E13" s="3" t="s">
        <v>0</v>
      </c>
      <c r="F13" s="2">
        <v>1000000</v>
      </c>
      <c r="G13" s="2">
        <f t="shared" si="0"/>
        <v>3795000</v>
      </c>
    </row>
    <row r="14" spans="2:12" x14ac:dyDescent="0.25">
      <c r="B14" s="2">
        <f t="shared" si="1"/>
        <v>9</v>
      </c>
      <c r="C14" s="6">
        <v>43511</v>
      </c>
      <c r="D14" s="3" t="s">
        <v>3</v>
      </c>
      <c r="E14" s="3" t="s">
        <v>0</v>
      </c>
      <c r="F14" s="2">
        <v>250000</v>
      </c>
      <c r="G14" s="2">
        <f t="shared" si="0"/>
        <v>3545000</v>
      </c>
    </row>
    <row r="15" spans="2:12" x14ac:dyDescent="0.25">
      <c r="B15" s="2">
        <f t="shared" si="1"/>
        <v>10</v>
      </c>
      <c r="C15" s="6">
        <v>43513</v>
      </c>
      <c r="D15" s="3" t="s">
        <v>2</v>
      </c>
      <c r="E15" s="3" t="s">
        <v>0</v>
      </c>
      <c r="F15" s="2">
        <v>250000</v>
      </c>
      <c r="G15" s="2">
        <f t="shared" si="0"/>
        <v>3295000</v>
      </c>
    </row>
    <row r="16" spans="2:12" x14ac:dyDescent="0.25">
      <c r="B16" s="2">
        <f t="shared" si="1"/>
        <v>11</v>
      </c>
      <c r="C16" s="6">
        <v>43514</v>
      </c>
      <c r="D16" s="3" t="s">
        <v>1</v>
      </c>
      <c r="E16" s="3" t="s">
        <v>0</v>
      </c>
      <c r="F16" s="2">
        <v>750000</v>
      </c>
      <c r="G16" s="2">
        <f t="shared" si="0"/>
        <v>2545000</v>
      </c>
    </row>
    <row r="17" spans="2:16" x14ac:dyDescent="0.25">
      <c r="B17" s="2" t="str">
        <f t="shared" si="1"/>
        <v/>
      </c>
      <c r="C17" s="17"/>
      <c r="D17" s="3"/>
      <c r="E17" s="3"/>
      <c r="F17" s="2"/>
      <c r="G17" s="2" t="str">
        <f t="shared" si="0"/>
        <v/>
      </c>
      <c r="P17" s="1" t="str">
        <f t="shared" ref="P17" si="2">IF(B17="","",IF(E17="Pengeluaran",G16-F17,G16+F17))</f>
        <v/>
      </c>
    </row>
    <row r="18" spans="2:16" x14ac:dyDescent="0.25">
      <c r="B18" s="2" t="str">
        <f t="shared" si="1"/>
        <v/>
      </c>
      <c r="C18" s="17"/>
      <c r="D18" s="3"/>
      <c r="E18" s="3"/>
      <c r="F18" s="2"/>
      <c r="G18" s="2" t="str">
        <f t="shared" si="0"/>
        <v/>
      </c>
    </row>
    <row r="19" spans="2:16" x14ac:dyDescent="0.25">
      <c r="B19" s="2" t="str">
        <f t="shared" si="1"/>
        <v/>
      </c>
      <c r="C19" s="17"/>
      <c r="D19" s="3"/>
      <c r="E19" s="3"/>
      <c r="F19" s="2"/>
      <c r="G19" s="2" t="str">
        <f t="shared" si="0"/>
        <v/>
      </c>
    </row>
    <row r="20" spans="2:16" x14ac:dyDescent="0.25">
      <c r="B20" s="2" t="str">
        <f t="shared" si="1"/>
        <v/>
      </c>
      <c r="C20" s="17"/>
      <c r="D20" s="3"/>
      <c r="E20" s="3"/>
      <c r="F20" s="2"/>
      <c r="G20" s="2" t="str">
        <f t="shared" si="0"/>
        <v/>
      </c>
    </row>
    <row r="21" spans="2:16" x14ac:dyDescent="0.25">
      <c r="B21" s="2" t="str">
        <f t="shared" si="1"/>
        <v/>
      </c>
      <c r="C21" s="17"/>
      <c r="D21" s="3"/>
      <c r="E21" s="3"/>
      <c r="F21" s="2"/>
      <c r="G21" s="2" t="str">
        <f t="shared" si="0"/>
        <v/>
      </c>
    </row>
    <row r="22" spans="2:16" x14ac:dyDescent="0.25">
      <c r="B22" s="2" t="str">
        <f t="shared" si="1"/>
        <v/>
      </c>
      <c r="C22" s="17"/>
      <c r="D22" s="3"/>
      <c r="E22" s="3"/>
      <c r="F22" s="2"/>
      <c r="G22" s="2" t="str">
        <f t="shared" si="0"/>
        <v/>
      </c>
    </row>
    <row r="23" spans="2:16" x14ac:dyDescent="0.25">
      <c r="B23" s="2" t="str">
        <f t="shared" si="1"/>
        <v/>
      </c>
      <c r="C23" s="17"/>
      <c r="D23" s="3"/>
      <c r="E23" s="3"/>
      <c r="F23" s="2"/>
      <c r="G23" s="2" t="str">
        <f t="shared" si="0"/>
        <v/>
      </c>
    </row>
    <row r="24" spans="2:16" x14ac:dyDescent="0.25">
      <c r="B24" s="2" t="str">
        <f t="shared" si="1"/>
        <v/>
      </c>
      <c r="C24" s="17"/>
      <c r="D24" s="3"/>
      <c r="E24" s="3"/>
      <c r="F24" s="2"/>
      <c r="G24" s="2" t="str">
        <f t="shared" si="0"/>
        <v/>
      </c>
    </row>
    <row r="25" spans="2:16" x14ac:dyDescent="0.25">
      <c r="B25" s="2" t="str">
        <f t="shared" si="1"/>
        <v/>
      </c>
      <c r="C25" s="17"/>
      <c r="D25" s="3"/>
      <c r="E25" s="3"/>
      <c r="F25" s="2"/>
      <c r="G25" s="2" t="str">
        <f t="shared" si="0"/>
        <v/>
      </c>
    </row>
    <row r="26" spans="2:16" x14ac:dyDescent="0.25">
      <c r="B26" s="2" t="str">
        <f t="shared" si="1"/>
        <v/>
      </c>
      <c r="C26" s="17"/>
      <c r="D26" s="3"/>
      <c r="E26" s="3"/>
      <c r="F26" s="2"/>
      <c r="G26" s="2" t="str">
        <f t="shared" si="0"/>
        <v/>
      </c>
    </row>
    <row r="27" spans="2:16" x14ac:dyDescent="0.25">
      <c r="B27" s="2" t="str">
        <f t="shared" si="1"/>
        <v/>
      </c>
      <c r="C27" s="17"/>
      <c r="D27" s="3"/>
      <c r="E27" s="3"/>
      <c r="F27" s="2"/>
      <c r="G27" s="2" t="str">
        <f t="shared" si="0"/>
        <v/>
      </c>
    </row>
    <row r="28" spans="2:16" x14ac:dyDescent="0.25">
      <c r="B28" s="2" t="str">
        <f t="shared" si="1"/>
        <v/>
      </c>
      <c r="C28" s="17"/>
      <c r="D28" s="3"/>
      <c r="E28" s="3"/>
      <c r="F28" s="2"/>
      <c r="G28" s="2" t="str">
        <f t="shared" si="0"/>
        <v/>
      </c>
    </row>
    <row r="29" spans="2:16" x14ac:dyDescent="0.25">
      <c r="B29" s="2" t="str">
        <f t="shared" si="1"/>
        <v/>
      </c>
      <c r="C29" s="17"/>
      <c r="D29" s="3"/>
      <c r="E29" s="3"/>
      <c r="F29" s="2"/>
      <c r="G29" s="2" t="str">
        <f t="shared" si="0"/>
        <v/>
      </c>
    </row>
    <row r="30" spans="2:16" x14ac:dyDescent="0.25">
      <c r="B30" s="2" t="str">
        <f t="shared" si="1"/>
        <v/>
      </c>
      <c r="C30" s="17"/>
      <c r="D30" s="3"/>
      <c r="E30" s="3"/>
      <c r="F30" s="2"/>
      <c r="G30" s="2" t="str">
        <f t="shared" si="0"/>
        <v/>
      </c>
    </row>
    <row r="31" spans="2:16" x14ac:dyDescent="0.25">
      <c r="B31" s="2" t="str">
        <f t="shared" si="1"/>
        <v/>
      </c>
      <c r="C31" s="17"/>
      <c r="D31" s="3"/>
      <c r="E31" s="3"/>
      <c r="F31" s="2"/>
      <c r="G31" s="2" t="str">
        <f t="shared" si="0"/>
        <v/>
      </c>
    </row>
    <row r="32" spans="2:16" x14ac:dyDescent="0.25">
      <c r="B32" s="2" t="str">
        <f t="shared" si="1"/>
        <v/>
      </c>
      <c r="C32" s="17"/>
      <c r="D32" s="3"/>
      <c r="E32" s="3"/>
      <c r="F32" s="2"/>
      <c r="G32" s="2" t="str">
        <f t="shared" si="0"/>
        <v/>
      </c>
    </row>
    <row r="33" spans="2:7" x14ac:dyDescent="0.25">
      <c r="B33" s="2" t="str">
        <f t="shared" si="1"/>
        <v/>
      </c>
      <c r="C33" s="17"/>
      <c r="D33" s="3"/>
      <c r="E33" s="3"/>
      <c r="F33" s="2"/>
      <c r="G33" s="2" t="str">
        <f t="shared" si="0"/>
        <v/>
      </c>
    </row>
    <row r="34" spans="2:7" x14ac:dyDescent="0.25">
      <c r="B34" s="2" t="str">
        <f t="shared" si="1"/>
        <v/>
      </c>
      <c r="C34" s="17"/>
      <c r="D34" s="3"/>
      <c r="E34" s="3"/>
      <c r="F34" s="2"/>
      <c r="G34" s="2" t="str">
        <f t="shared" si="0"/>
        <v/>
      </c>
    </row>
    <row r="35" spans="2:7" x14ac:dyDescent="0.25">
      <c r="B35" s="2" t="str">
        <f t="shared" si="1"/>
        <v/>
      </c>
      <c r="C35" s="17"/>
      <c r="D35" s="3"/>
      <c r="E35" s="3"/>
      <c r="F35" s="2"/>
      <c r="G35" s="2" t="str">
        <f t="shared" si="0"/>
        <v/>
      </c>
    </row>
    <row r="36" spans="2:7" x14ac:dyDescent="0.25">
      <c r="B36" s="2" t="str">
        <f t="shared" si="1"/>
        <v/>
      </c>
      <c r="C36" s="17"/>
      <c r="F36" s="2"/>
      <c r="G36" s="2" t="str">
        <f t="shared" si="0"/>
        <v/>
      </c>
    </row>
    <row r="37" spans="2:7" x14ac:dyDescent="0.25">
      <c r="B37" s="2" t="str">
        <f t="shared" si="1"/>
        <v/>
      </c>
      <c r="C37" s="17"/>
      <c r="F37" s="2"/>
      <c r="G37" s="2" t="str">
        <f t="shared" si="0"/>
        <v/>
      </c>
    </row>
    <row r="38" spans="2:7" x14ac:dyDescent="0.25">
      <c r="B38" s="2" t="str">
        <f t="shared" si="1"/>
        <v/>
      </c>
      <c r="C38" s="17"/>
      <c r="F38" s="2"/>
      <c r="G38" s="2" t="str">
        <f t="shared" si="0"/>
        <v/>
      </c>
    </row>
    <row r="39" spans="2:7" x14ac:dyDescent="0.25">
      <c r="B39" s="2" t="str">
        <f t="shared" si="1"/>
        <v/>
      </c>
      <c r="C39" s="17"/>
      <c r="F39" s="2"/>
      <c r="G39" s="2" t="str">
        <f t="shared" si="0"/>
        <v/>
      </c>
    </row>
    <row r="40" spans="2:7" x14ac:dyDescent="0.25">
      <c r="B40" s="2" t="str">
        <f t="shared" si="1"/>
        <v/>
      </c>
      <c r="C40" s="17"/>
      <c r="F40" s="2"/>
      <c r="G40" s="2" t="str">
        <f t="shared" si="0"/>
        <v/>
      </c>
    </row>
    <row r="41" spans="2:7" x14ac:dyDescent="0.25">
      <c r="B41" s="2" t="str">
        <f t="shared" si="1"/>
        <v/>
      </c>
      <c r="C41" s="17"/>
      <c r="F41" s="2"/>
      <c r="G41" s="2" t="str">
        <f t="shared" si="0"/>
        <v/>
      </c>
    </row>
    <row r="42" spans="2:7" x14ac:dyDescent="0.25">
      <c r="B42" s="2" t="str">
        <f t="shared" si="1"/>
        <v/>
      </c>
      <c r="C42" s="17"/>
      <c r="F42" s="2"/>
      <c r="G42" s="2" t="str">
        <f t="shared" si="0"/>
        <v/>
      </c>
    </row>
    <row r="43" spans="2:7" x14ac:dyDescent="0.25">
      <c r="B43" s="2" t="str">
        <f t="shared" si="1"/>
        <v/>
      </c>
      <c r="C43" s="17"/>
      <c r="F43" s="2"/>
      <c r="G43" s="2" t="str">
        <f t="shared" si="0"/>
        <v/>
      </c>
    </row>
    <row r="44" spans="2:7" x14ac:dyDescent="0.25">
      <c r="B44" s="2" t="str">
        <f t="shared" si="1"/>
        <v/>
      </c>
      <c r="C44" s="17"/>
      <c r="F44" s="2"/>
      <c r="G44" s="2" t="str">
        <f t="shared" si="0"/>
        <v/>
      </c>
    </row>
    <row r="45" spans="2:7" x14ac:dyDescent="0.25">
      <c r="B45" s="2" t="str">
        <f t="shared" si="1"/>
        <v/>
      </c>
      <c r="C45" s="17"/>
      <c r="F45" s="2"/>
      <c r="G45" s="2" t="str">
        <f t="shared" si="0"/>
        <v/>
      </c>
    </row>
    <row r="46" spans="2:7" x14ac:dyDescent="0.25">
      <c r="B46" s="2" t="str">
        <f t="shared" si="1"/>
        <v/>
      </c>
      <c r="C46" s="17"/>
      <c r="F46" s="2"/>
      <c r="G46" s="2" t="str">
        <f t="shared" si="0"/>
        <v/>
      </c>
    </row>
    <row r="47" spans="2:7" x14ac:dyDescent="0.25">
      <c r="B47" s="2" t="str">
        <f t="shared" si="1"/>
        <v/>
      </c>
      <c r="C47" s="17"/>
      <c r="F47" s="2"/>
      <c r="G47" s="2" t="str">
        <f t="shared" si="0"/>
        <v/>
      </c>
    </row>
    <row r="48" spans="2:7" x14ac:dyDescent="0.25">
      <c r="B48" s="2" t="str">
        <f t="shared" si="1"/>
        <v/>
      </c>
      <c r="C48" s="17"/>
      <c r="F48" s="2"/>
      <c r="G48" s="2" t="str">
        <f t="shared" si="0"/>
        <v/>
      </c>
    </row>
    <row r="49" spans="2:7" x14ac:dyDescent="0.25">
      <c r="B49" s="2" t="str">
        <f t="shared" si="1"/>
        <v/>
      </c>
      <c r="C49" s="17"/>
      <c r="F49" s="2"/>
      <c r="G49" s="2" t="str">
        <f t="shared" si="0"/>
        <v/>
      </c>
    </row>
    <row r="50" spans="2:7" x14ac:dyDescent="0.25">
      <c r="B50" s="2" t="str">
        <f t="shared" si="1"/>
        <v/>
      </c>
      <c r="C50" s="17"/>
      <c r="F50" s="2"/>
      <c r="G50" s="2" t="str">
        <f t="shared" si="0"/>
        <v/>
      </c>
    </row>
    <row r="51" spans="2:7" x14ac:dyDescent="0.25">
      <c r="B51" s="2" t="str">
        <f t="shared" si="1"/>
        <v/>
      </c>
      <c r="C51" s="17"/>
      <c r="F51" s="2"/>
      <c r="G51" s="2" t="str">
        <f t="shared" si="0"/>
        <v/>
      </c>
    </row>
    <row r="52" spans="2:7" x14ac:dyDescent="0.25">
      <c r="B52" s="2" t="str">
        <f t="shared" si="1"/>
        <v/>
      </c>
      <c r="C52" s="17"/>
      <c r="F52" s="2"/>
      <c r="G52" s="2" t="str">
        <f t="shared" si="0"/>
        <v/>
      </c>
    </row>
    <row r="53" spans="2:7" x14ac:dyDescent="0.25">
      <c r="B53" s="2" t="str">
        <f t="shared" si="1"/>
        <v/>
      </c>
      <c r="C53" s="17"/>
      <c r="F53" s="2"/>
      <c r="G53" s="2" t="str">
        <f t="shared" si="0"/>
        <v/>
      </c>
    </row>
    <row r="54" spans="2:7" x14ac:dyDescent="0.25">
      <c r="B54" s="2" t="str">
        <f t="shared" si="1"/>
        <v/>
      </c>
      <c r="C54" s="17"/>
      <c r="F54" s="2"/>
      <c r="G54" s="2" t="str">
        <f t="shared" si="0"/>
        <v/>
      </c>
    </row>
    <row r="55" spans="2:7" x14ac:dyDescent="0.25">
      <c r="B55" s="2" t="str">
        <f t="shared" si="1"/>
        <v/>
      </c>
      <c r="C55" s="17"/>
      <c r="F55" s="2"/>
      <c r="G55" s="2" t="str">
        <f t="shared" si="0"/>
        <v/>
      </c>
    </row>
    <row r="56" spans="2:7" ht="19.5" customHeight="1" x14ac:dyDescent="0.25">
      <c r="F56" s="2"/>
      <c r="G56" s="2"/>
    </row>
    <row r="57" spans="2:7" x14ac:dyDescent="0.25">
      <c r="F57" s="2"/>
      <c r="G57" s="2"/>
    </row>
    <row r="58" spans="2:7" x14ac:dyDescent="0.25">
      <c r="F58" s="2"/>
      <c r="G58" s="2"/>
    </row>
    <row r="59" spans="2:7" x14ac:dyDescent="0.25">
      <c r="F59" s="2"/>
      <c r="G59" s="2"/>
    </row>
    <row r="60" spans="2:7" x14ac:dyDescent="0.25">
      <c r="F60" s="2"/>
      <c r="G60" s="2"/>
    </row>
    <row r="61" spans="2:7" x14ac:dyDescent="0.25">
      <c r="F61" s="2"/>
      <c r="G61" s="2"/>
    </row>
    <row r="62" spans="2:7" x14ac:dyDescent="0.25">
      <c r="F62" s="2"/>
      <c r="G62" s="2"/>
    </row>
    <row r="63" spans="2:7" x14ac:dyDescent="0.25">
      <c r="F63" s="2"/>
      <c r="G63" s="2"/>
    </row>
    <row r="64" spans="2:7" x14ac:dyDescent="0.25">
      <c r="F64" s="2"/>
      <c r="G64" s="2"/>
    </row>
    <row r="65" spans="6:7" x14ac:dyDescent="0.25">
      <c r="F65" s="2"/>
      <c r="G65" s="2"/>
    </row>
    <row r="66" spans="6:7" x14ac:dyDescent="0.25">
      <c r="F66" s="2"/>
      <c r="G66" s="2"/>
    </row>
    <row r="67" spans="6:7" x14ac:dyDescent="0.25">
      <c r="F67" s="2"/>
      <c r="G67" s="2"/>
    </row>
    <row r="68" spans="6:7" x14ac:dyDescent="0.25">
      <c r="F68" s="2"/>
      <c r="G68" s="2"/>
    </row>
    <row r="69" spans="6:7" x14ac:dyDescent="0.25">
      <c r="F69" s="2"/>
      <c r="G69" s="2"/>
    </row>
    <row r="70" spans="6:7" x14ac:dyDescent="0.25">
      <c r="F70" s="2"/>
      <c r="G70" s="2"/>
    </row>
    <row r="71" spans="6:7" x14ac:dyDescent="0.25">
      <c r="F71" s="2"/>
      <c r="G71" s="2"/>
    </row>
    <row r="72" spans="6:7" x14ac:dyDescent="0.25">
      <c r="F72" s="2"/>
      <c r="G72" s="2"/>
    </row>
    <row r="73" spans="6:7" x14ac:dyDescent="0.25">
      <c r="F73" s="2"/>
      <c r="G73" s="2"/>
    </row>
    <row r="74" spans="6:7" x14ac:dyDescent="0.25">
      <c r="F74" s="2"/>
      <c r="G74" s="2"/>
    </row>
    <row r="75" spans="6:7" x14ac:dyDescent="0.25">
      <c r="F75" s="2"/>
      <c r="G75" s="2"/>
    </row>
    <row r="76" spans="6:7" x14ac:dyDescent="0.25">
      <c r="F76" s="2"/>
      <c r="G76" s="2"/>
    </row>
    <row r="77" spans="6:7" x14ac:dyDescent="0.25">
      <c r="F77" s="2"/>
      <c r="G77" s="2"/>
    </row>
    <row r="78" spans="6:7" x14ac:dyDescent="0.25">
      <c r="F78" s="2"/>
      <c r="G78" s="2"/>
    </row>
    <row r="79" spans="6:7" x14ac:dyDescent="0.25">
      <c r="F79" s="2"/>
      <c r="G79" s="2"/>
    </row>
    <row r="80" spans="6:7" x14ac:dyDescent="0.25">
      <c r="F80" s="2"/>
      <c r="G80" s="2"/>
    </row>
    <row r="81" spans="6:7" x14ac:dyDescent="0.25">
      <c r="F81" s="2"/>
      <c r="G81" s="2"/>
    </row>
    <row r="82" spans="6:7" x14ac:dyDescent="0.25">
      <c r="F82" s="2"/>
      <c r="G82" s="2"/>
    </row>
    <row r="83" spans="6:7" x14ac:dyDescent="0.25">
      <c r="F83" s="2"/>
      <c r="G83" s="2"/>
    </row>
    <row r="84" spans="6:7" x14ac:dyDescent="0.25">
      <c r="F84" s="2"/>
      <c r="G84" s="2"/>
    </row>
    <row r="85" spans="6:7" x14ac:dyDescent="0.25">
      <c r="F85" s="2"/>
      <c r="G85" s="2"/>
    </row>
    <row r="86" spans="6:7" x14ac:dyDescent="0.25">
      <c r="F86" s="2"/>
      <c r="G86" s="2"/>
    </row>
    <row r="87" spans="6:7" x14ac:dyDescent="0.25">
      <c r="F87" s="2"/>
      <c r="G87" s="2"/>
    </row>
    <row r="88" spans="6:7" x14ac:dyDescent="0.25">
      <c r="F88" s="2"/>
      <c r="G88" s="2"/>
    </row>
    <row r="89" spans="6:7" x14ac:dyDescent="0.25">
      <c r="F89" s="2"/>
      <c r="G89" s="2"/>
    </row>
    <row r="90" spans="6:7" x14ac:dyDescent="0.25">
      <c r="F90" s="2"/>
      <c r="G90" s="2"/>
    </row>
    <row r="91" spans="6:7" x14ac:dyDescent="0.25">
      <c r="F91" s="2"/>
      <c r="G91" s="2"/>
    </row>
    <row r="92" spans="6:7" x14ac:dyDescent="0.25">
      <c r="F92" s="2"/>
      <c r="G92" s="2"/>
    </row>
    <row r="93" spans="6:7" x14ac:dyDescent="0.25">
      <c r="F93" s="2"/>
      <c r="G93" s="2"/>
    </row>
    <row r="94" spans="6:7" x14ac:dyDescent="0.25">
      <c r="F94" s="2"/>
      <c r="G94" s="2"/>
    </row>
    <row r="95" spans="6:7" x14ac:dyDescent="0.25">
      <c r="F95" s="2"/>
      <c r="G95" s="2"/>
    </row>
    <row r="96" spans="6:7" x14ac:dyDescent="0.25">
      <c r="F96" s="2"/>
      <c r="G96" s="2"/>
    </row>
    <row r="97" spans="6:7" x14ac:dyDescent="0.25">
      <c r="F97" s="2"/>
      <c r="G97" s="2"/>
    </row>
    <row r="98" spans="6:7" x14ac:dyDescent="0.25">
      <c r="F98" s="2"/>
      <c r="G98" s="2"/>
    </row>
    <row r="99" spans="6:7" x14ac:dyDescent="0.25">
      <c r="F99" s="2"/>
      <c r="G99" s="2"/>
    </row>
    <row r="100" spans="6:7" x14ac:dyDescent="0.25">
      <c r="F100" s="2"/>
      <c r="G100" s="2"/>
    </row>
    <row r="101" spans="6:7" x14ac:dyDescent="0.25">
      <c r="F101" s="2"/>
      <c r="G101" s="2"/>
    </row>
    <row r="102" spans="6:7" x14ac:dyDescent="0.25">
      <c r="F102" s="2"/>
      <c r="G102" s="2"/>
    </row>
    <row r="103" spans="6:7" x14ac:dyDescent="0.25">
      <c r="F103" s="2"/>
      <c r="G103" s="2"/>
    </row>
    <row r="104" spans="6:7" x14ac:dyDescent="0.25">
      <c r="F104" s="2"/>
      <c r="G104" s="2"/>
    </row>
    <row r="105" spans="6:7" x14ac:dyDescent="0.25">
      <c r="F105" s="2"/>
      <c r="G105" s="2"/>
    </row>
    <row r="106" spans="6:7" x14ac:dyDescent="0.25">
      <c r="F106" s="2"/>
      <c r="G106" s="2"/>
    </row>
    <row r="107" spans="6:7" x14ac:dyDescent="0.25">
      <c r="F107" s="2"/>
      <c r="G107" s="2"/>
    </row>
    <row r="108" spans="6:7" x14ac:dyDescent="0.25">
      <c r="F108" s="2"/>
      <c r="G108" s="2"/>
    </row>
    <row r="109" spans="6:7" x14ac:dyDescent="0.25">
      <c r="F109" s="2"/>
      <c r="G109" s="2"/>
    </row>
    <row r="110" spans="6:7" x14ac:dyDescent="0.25">
      <c r="F110" s="2"/>
      <c r="G110" s="2"/>
    </row>
    <row r="111" spans="6:7" x14ac:dyDescent="0.25">
      <c r="F111" s="2"/>
      <c r="G111" s="2"/>
    </row>
    <row r="112" spans="6:7" x14ac:dyDescent="0.25">
      <c r="F112" s="2"/>
      <c r="G112" s="2"/>
    </row>
    <row r="113" spans="6:7" x14ac:dyDescent="0.25">
      <c r="F113" s="2"/>
      <c r="G113" s="2"/>
    </row>
    <row r="114" spans="6:7" x14ac:dyDescent="0.25">
      <c r="F114" s="2"/>
      <c r="G114" s="2"/>
    </row>
    <row r="115" spans="6:7" x14ac:dyDescent="0.25">
      <c r="F115" s="2"/>
      <c r="G115" s="2"/>
    </row>
    <row r="116" spans="6:7" x14ac:dyDescent="0.25">
      <c r="F116" s="2"/>
      <c r="G116" s="2"/>
    </row>
    <row r="117" spans="6:7" x14ac:dyDescent="0.25">
      <c r="F117" s="2"/>
      <c r="G117" s="2"/>
    </row>
    <row r="118" spans="6:7" x14ac:dyDescent="0.25">
      <c r="F118" s="2"/>
      <c r="G118" s="2"/>
    </row>
    <row r="119" spans="6:7" x14ac:dyDescent="0.25">
      <c r="F119" s="2"/>
      <c r="G119" s="2"/>
    </row>
    <row r="120" spans="6:7" x14ac:dyDescent="0.25">
      <c r="F120" s="2"/>
      <c r="G120" s="2"/>
    </row>
    <row r="121" spans="6:7" x14ac:dyDescent="0.25">
      <c r="F121" s="2"/>
      <c r="G121" s="2"/>
    </row>
    <row r="122" spans="6:7" x14ac:dyDescent="0.25">
      <c r="F122" s="2"/>
      <c r="G122" s="2"/>
    </row>
    <row r="123" spans="6:7" x14ac:dyDescent="0.25">
      <c r="F123" s="2"/>
      <c r="G123" s="2"/>
    </row>
    <row r="124" spans="6:7" x14ac:dyDescent="0.25">
      <c r="F124" s="2"/>
      <c r="G124" s="2"/>
    </row>
    <row r="125" spans="6:7" x14ac:dyDescent="0.25">
      <c r="F125" s="2"/>
      <c r="G125" s="2"/>
    </row>
    <row r="126" spans="6:7" x14ac:dyDescent="0.25">
      <c r="F126" s="2"/>
      <c r="G126" s="2"/>
    </row>
    <row r="127" spans="6:7" x14ac:dyDescent="0.25">
      <c r="F127" s="2"/>
      <c r="G127" s="2"/>
    </row>
    <row r="128" spans="6:7" x14ac:dyDescent="0.25">
      <c r="F128" s="2"/>
      <c r="G128" s="2"/>
    </row>
    <row r="129" spans="6:7" x14ac:dyDescent="0.25">
      <c r="F129" s="2"/>
      <c r="G129" s="2"/>
    </row>
    <row r="130" spans="6:7" x14ac:dyDescent="0.25">
      <c r="F130" s="2"/>
      <c r="G130" s="2"/>
    </row>
    <row r="131" spans="6:7" x14ac:dyDescent="0.25">
      <c r="F131" s="2"/>
      <c r="G131" s="2"/>
    </row>
    <row r="132" spans="6:7" x14ac:dyDescent="0.25">
      <c r="F132" s="2"/>
      <c r="G132" s="2"/>
    </row>
    <row r="133" spans="6:7" x14ac:dyDescent="0.25">
      <c r="F133" s="2"/>
      <c r="G133" s="2"/>
    </row>
    <row r="134" spans="6:7" x14ac:dyDescent="0.25">
      <c r="F134" s="2"/>
      <c r="G134" s="2"/>
    </row>
    <row r="135" spans="6:7" x14ac:dyDescent="0.25">
      <c r="F135" s="2"/>
      <c r="G135" s="2"/>
    </row>
    <row r="136" spans="6:7" x14ac:dyDescent="0.25">
      <c r="F136" s="2"/>
      <c r="G136" s="2"/>
    </row>
    <row r="137" spans="6:7" x14ac:dyDescent="0.25">
      <c r="F137" s="2"/>
      <c r="G137" s="2"/>
    </row>
    <row r="138" spans="6:7" x14ac:dyDescent="0.25">
      <c r="F138" s="2"/>
      <c r="G138" s="2"/>
    </row>
    <row r="139" spans="6:7" x14ac:dyDescent="0.25">
      <c r="F139" s="2"/>
      <c r="G139" s="2"/>
    </row>
    <row r="140" spans="6:7" x14ac:dyDescent="0.25">
      <c r="F140" s="2"/>
      <c r="G140" s="2"/>
    </row>
    <row r="141" spans="6:7" x14ac:dyDescent="0.25">
      <c r="F141" s="2"/>
      <c r="G141" s="2"/>
    </row>
    <row r="142" spans="6:7" x14ac:dyDescent="0.25">
      <c r="F142" s="2"/>
      <c r="G142" s="2"/>
    </row>
    <row r="143" spans="6:7" x14ac:dyDescent="0.25">
      <c r="F143" s="2"/>
      <c r="G143" s="2"/>
    </row>
    <row r="144" spans="6:7" x14ac:dyDescent="0.25">
      <c r="F144" s="2"/>
      <c r="G144" s="2"/>
    </row>
    <row r="145" spans="6:7" x14ac:dyDescent="0.25">
      <c r="F145" s="2"/>
      <c r="G145" s="2"/>
    </row>
    <row r="146" spans="6:7" x14ac:dyDescent="0.25">
      <c r="F146" s="2"/>
      <c r="G146" s="2"/>
    </row>
    <row r="147" spans="6:7" x14ac:dyDescent="0.25">
      <c r="F147" s="2"/>
      <c r="G147" s="2"/>
    </row>
    <row r="148" spans="6:7" x14ac:dyDescent="0.25">
      <c r="F148" s="2"/>
      <c r="G148" s="2"/>
    </row>
    <row r="149" spans="6:7" x14ac:dyDescent="0.25">
      <c r="F149" s="2"/>
      <c r="G149" s="2"/>
    </row>
    <row r="150" spans="6:7" x14ac:dyDescent="0.25">
      <c r="F150" s="2"/>
      <c r="G150" s="2"/>
    </row>
    <row r="151" spans="6:7" x14ac:dyDescent="0.25">
      <c r="F151" s="2"/>
      <c r="G151" s="2"/>
    </row>
    <row r="152" spans="6:7" x14ac:dyDescent="0.25">
      <c r="F152" s="2"/>
      <c r="G152" s="2"/>
    </row>
    <row r="153" spans="6:7" x14ac:dyDescent="0.25">
      <c r="F153" s="2"/>
      <c r="G153" s="2"/>
    </row>
    <row r="154" spans="6:7" x14ac:dyDescent="0.25">
      <c r="F154" s="2"/>
      <c r="G154" s="2"/>
    </row>
    <row r="155" spans="6:7" x14ac:dyDescent="0.25">
      <c r="F155" s="2"/>
      <c r="G155" s="2"/>
    </row>
    <row r="156" spans="6:7" x14ac:dyDescent="0.25">
      <c r="F156" s="2"/>
      <c r="G156" s="2"/>
    </row>
    <row r="157" spans="6:7" x14ac:dyDescent="0.25">
      <c r="F157" s="2"/>
      <c r="G157" s="2"/>
    </row>
    <row r="158" spans="6:7" x14ac:dyDescent="0.25">
      <c r="F158" s="2"/>
      <c r="G158" s="2"/>
    </row>
    <row r="159" spans="6:7" x14ac:dyDescent="0.25">
      <c r="F159" s="2"/>
      <c r="G159" s="2"/>
    </row>
    <row r="160" spans="6:7" x14ac:dyDescent="0.25">
      <c r="F160" s="2"/>
      <c r="G160" s="2"/>
    </row>
    <row r="161" spans="6:7" x14ac:dyDescent="0.25">
      <c r="F161" s="2"/>
      <c r="G161" s="2"/>
    </row>
    <row r="162" spans="6:7" x14ac:dyDescent="0.25">
      <c r="F162" s="2"/>
      <c r="G162" s="2"/>
    </row>
    <row r="163" spans="6:7" x14ac:dyDescent="0.25">
      <c r="F163" s="2"/>
      <c r="G163" s="2"/>
    </row>
    <row r="164" spans="6:7" x14ac:dyDescent="0.25">
      <c r="F164" s="2"/>
      <c r="G164" s="2"/>
    </row>
    <row r="165" spans="6:7" x14ac:dyDescent="0.25">
      <c r="F165" s="2"/>
      <c r="G165" s="2"/>
    </row>
    <row r="166" spans="6:7" x14ac:dyDescent="0.25">
      <c r="F166" s="2"/>
      <c r="G166" s="2"/>
    </row>
    <row r="167" spans="6:7" x14ac:dyDescent="0.25">
      <c r="F167" s="2"/>
      <c r="G167" s="2"/>
    </row>
    <row r="168" spans="6:7" x14ac:dyDescent="0.25">
      <c r="F168" s="2"/>
      <c r="G168" s="2"/>
    </row>
    <row r="169" spans="6:7" x14ac:dyDescent="0.25">
      <c r="F169" s="2"/>
      <c r="G169" s="2"/>
    </row>
    <row r="170" spans="6:7" x14ac:dyDescent="0.25">
      <c r="F170" s="2"/>
      <c r="G170" s="2"/>
    </row>
    <row r="171" spans="6:7" x14ac:dyDescent="0.25">
      <c r="F171" s="2"/>
      <c r="G171" s="2"/>
    </row>
    <row r="172" spans="6:7" x14ac:dyDescent="0.25">
      <c r="F172" s="2"/>
      <c r="G172" s="2"/>
    </row>
    <row r="173" spans="6:7" x14ac:dyDescent="0.25">
      <c r="F173" s="2"/>
      <c r="G173" s="2"/>
    </row>
    <row r="174" spans="6:7" x14ac:dyDescent="0.25">
      <c r="F174" s="2"/>
      <c r="G174" s="2"/>
    </row>
    <row r="175" spans="6:7" x14ac:dyDescent="0.25">
      <c r="F175" s="2"/>
      <c r="G175" s="2"/>
    </row>
    <row r="176" spans="6:7" x14ac:dyDescent="0.25">
      <c r="F176" s="2"/>
      <c r="G176" s="2"/>
    </row>
    <row r="177" spans="6:7" x14ac:dyDescent="0.25">
      <c r="F177" s="2"/>
      <c r="G177" s="2"/>
    </row>
    <row r="178" spans="6:7" x14ac:dyDescent="0.25">
      <c r="F178" s="2"/>
      <c r="G178" s="2"/>
    </row>
    <row r="179" spans="6:7" x14ac:dyDescent="0.25">
      <c r="F179" s="2"/>
      <c r="G179" s="2"/>
    </row>
    <row r="180" spans="6:7" x14ac:dyDescent="0.25">
      <c r="F180" s="2"/>
      <c r="G180" s="2"/>
    </row>
    <row r="181" spans="6:7" x14ac:dyDescent="0.25">
      <c r="F181" s="2"/>
      <c r="G181" s="2"/>
    </row>
    <row r="182" spans="6:7" x14ac:dyDescent="0.25">
      <c r="F182" s="2"/>
      <c r="G182" s="2"/>
    </row>
    <row r="183" spans="6:7" x14ac:dyDescent="0.25">
      <c r="F183" s="2"/>
      <c r="G183" s="2"/>
    </row>
    <row r="184" spans="6:7" x14ac:dyDescent="0.25">
      <c r="F184" s="2"/>
      <c r="G184" s="2"/>
    </row>
    <row r="185" spans="6:7" x14ac:dyDescent="0.25">
      <c r="F185" s="2"/>
      <c r="G185" s="2"/>
    </row>
    <row r="186" spans="6:7" x14ac:dyDescent="0.25">
      <c r="F186" s="2"/>
      <c r="G186" s="2"/>
    </row>
    <row r="187" spans="6:7" x14ac:dyDescent="0.25">
      <c r="F187" s="2"/>
      <c r="G187" s="2"/>
    </row>
    <row r="188" spans="6:7" x14ac:dyDescent="0.25">
      <c r="F188" s="2"/>
      <c r="G188" s="2"/>
    </row>
    <row r="189" spans="6:7" x14ac:dyDescent="0.25">
      <c r="F189" s="2"/>
      <c r="G189" s="2"/>
    </row>
    <row r="190" spans="6:7" x14ac:dyDescent="0.25">
      <c r="F190" s="2"/>
      <c r="G190" s="2"/>
    </row>
    <row r="191" spans="6:7" x14ac:dyDescent="0.25">
      <c r="F191" s="2"/>
      <c r="G191" s="2"/>
    </row>
    <row r="192" spans="6:7" x14ac:dyDescent="0.25">
      <c r="F192" s="2"/>
      <c r="G192" s="2"/>
    </row>
    <row r="193" spans="6:7" x14ac:dyDescent="0.25">
      <c r="F193" s="2"/>
      <c r="G193" s="2"/>
    </row>
    <row r="194" spans="6:7" x14ac:dyDescent="0.25">
      <c r="F194" s="2"/>
      <c r="G194" s="2"/>
    </row>
    <row r="195" spans="6:7" x14ac:dyDescent="0.25">
      <c r="F195" s="2"/>
      <c r="G195" s="2"/>
    </row>
    <row r="196" spans="6:7" x14ac:dyDescent="0.25">
      <c r="F196" s="2"/>
      <c r="G196" s="2"/>
    </row>
    <row r="197" spans="6:7" x14ac:dyDescent="0.25">
      <c r="F197" s="2"/>
      <c r="G197" s="2"/>
    </row>
    <row r="198" spans="6:7" x14ac:dyDescent="0.25">
      <c r="F198" s="2"/>
      <c r="G198" s="2"/>
    </row>
    <row r="199" spans="6:7" x14ac:dyDescent="0.25">
      <c r="F199" s="2"/>
      <c r="G199" s="2"/>
    </row>
    <row r="200" spans="6:7" x14ac:dyDescent="0.25">
      <c r="F200" s="2"/>
      <c r="G200" s="2"/>
    </row>
    <row r="201" spans="6:7" x14ac:dyDescent="0.25">
      <c r="F201" s="2"/>
      <c r="G201" s="2"/>
    </row>
    <row r="202" spans="6:7" x14ac:dyDescent="0.25">
      <c r="F202" s="2"/>
      <c r="G202" s="2"/>
    </row>
    <row r="203" spans="6:7" x14ac:dyDescent="0.25">
      <c r="F203" s="2"/>
      <c r="G203" s="2"/>
    </row>
    <row r="204" spans="6:7" x14ac:dyDescent="0.25">
      <c r="F204" s="2"/>
      <c r="G204" s="2"/>
    </row>
    <row r="205" spans="6:7" x14ac:dyDescent="0.25">
      <c r="F205" s="2"/>
      <c r="G205" s="2"/>
    </row>
    <row r="206" spans="6:7" x14ac:dyDescent="0.25">
      <c r="F206" s="2"/>
      <c r="G206" s="2"/>
    </row>
    <row r="207" spans="6:7" x14ac:dyDescent="0.25">
      <c r="F207" s="2"/>
      <c r="G207" s="2"/>
    </row>
    <row r="208" spans="6:7" x14ac:dyDescent="0.25">
      <c r="F208" s="2"/>
      <c r="G208" s="2"/>
    </row>
    <row r="209" spans="6:7" x14ac:dyDescent="0.25">
      <c r="F209" s="2"/>
      <c r="G209" s="2"/>
    </row>
    <row r="210" spans="6:7" x14ac:dyDescent="0.25">
      <c r="F210" s="2"/>
      <c r="G210" s="2"/>
    </row>
    <row r="211" spans="6:7" x14ac:dyDescent="0.25">
      <c r="F211" s="2"/>
      <c r="G211" s="2"/>
    </row>
    <row r="212" spans="6:7" x14ac:dyDescent="0.25">
      <c r="F212" s="2"/>
      <c r="G212" s="2"/>
    </row>
    <row r="213" spans="6:7" x14ac:dyDescent="0.25">
      <c r="F213" s="2"/>
      <c r="G213" s="2"/>
    </row>
    <row r="214" spans="6:7" x14ac:dyDescent="0.25">
      <c r="F214" s="2"/>
      <c r="G214" s="2"/>
    </row>
    <row r="215" spans="6:7" x14ac:dyDescent="0.25">
      <c r="F215" s="2"/>
      <c r="G215" s="2"/>
    </row>
    <row r="216" spans="6:7" x14ac:dyDescent="0.25">
      <c r="F216" s="2"/>
      <c r="G216" s="2"/>
    </row>
    <row r="217" spans="6:7" x14ac:dyDescent="0.25">
      <c r="F217" s="2"/>
      <c r="G217" s="2"/>
    </row>
    <row r="218" spans="6:7" x14ac:dyDescent="0.25">
      <c r="F218" s="2"/>
      <c r="G218" s="2"/>
    </row>
    <row r="219" spans="6:7" x14ac:dyDescent="0.25">
      <c r="F219" s="2"/>
      <c r="G219" s="2"/>
    </row>
    <row r="220" spans="6:7" x14ac:dyDescent="0.25">
      <c r="F220" s="2"/>
      <c r="G220" s="2"/>
    </row>
    <row r="221" spans="6:7" x14ac:dyDescent="0.25">
      <c r="F221" s="2"/>
      <c r="G221" s="2"/>
    </row>
    <row r="222" spans="6:7" x14ac:dyDescent="0.25">
      <c r="F222" s="2"/>
      <c r="G222" s="2"/>
    </row>
    <row r="223" spans="6:7" x14ac:dyDescent="0.25">
      <c r="F223" s="2"/>
      <c r="G223" s="2"/>
    </row>
    <row r="224" spans="6:7" x14ac:dyDescent="0.25">
      <c r="F224" s="2"/>
      <c r="G224" s="2"/>
    </row>
    <row r="225" spans="6:7" x14ac:dyDescent="0.25">
      <c r="F225" s="2"/>
      <c r="G225" s="2"/>
    </row>
    <row r="226" spans="6:7" x14ac:dyDescent="0.25">
      <c r="F226" s="2"/>
      <c r="G226" s="2"/>
    </row>
    <row r="227" spans="6:7" x14ac:dyDescent="0.25">
      <c r="F227" s="2"/>
      <c r="G227" s="2"/>
    </row>
    <row r="228" spans="6:7" x14ac:dyDescent="0.25">
      <c r="F228" s="2"/>
      <c r="G228" s="2"/>
    </row>
    <row r="229" spans="6:7" x14ac:dyDescent="0.25">
      <c r="F229" s="2"/>
      <c r="G229" s="2"/>
    </row>
    <row r="230" spans="6:7" x14ac:dyDescent="0.25">
      <c r="F230" s="2"/>
      <c r="G230" s="2"/>
    </row>
    <row r="231" spans="6:7" x14ac:dyDescent="0.25">
      <c r="F231" s="2"/>
      <c r="G231" s="2"/>
    </row>
    <row r="232" spans="6:7" x14ac:dyDescent="0.25">
      <c r="F232" s="2"/>
      <c r="G232" s="2"/>
    </row>
    <row r="233" spans="6:7" x14ac:dyDescent="0.25">
      <c r="F233" s="2"/>
      <c r="G233" s="2"/>
    </row>
    <row r="234" spans="6:7" x14ac:dyDescent="0.25">
      <c r="F234" s="2"/>
      <c r="G234" s="2"/>
    </row>
    <row r="235" spans="6:7" x14ac:dyDescent="0.25">
      <c r="F235" s="2"/>
      <c r="G235" s="2"/>
    </row>
    <row r="236" spans="6:7" x14ac:dyDescent="0.25">
      <c r="F236" s="2"/>
      <c r="G236" s="2"/>
    </row>
    <row r="237" spans="6:7" x14ac:dyDescent="0.25">
      <c r="F237" s="2"/>
      <c r="G237" s="2"/>
    </row>
    <row r="238" spans="6:7" x14ac:dyDescent="0.25">
      <c r="F238" s="2"/>
      <c r="G238" s="2"/>
    </row>
    <row r="239" spans="6:7" x14ac:dyDescent="0.25">
      <c r="F239" s="2"/>
      <c r="G239" s="2"/>
    </row>
    <row r="240" spans="6:7" x14ac:dyDescent="0.25">
      <c r="F240" s="2"/>
      <c r="G240" s="2"/>
    </row>
    <row r="241" spans="6:7" x14ac:dyDescent="0.25">
      <c r="F241" s="2"/>
      <c r="G241" s="2"/>
    </row>
    <row r="242" spans="6:7" x14ac:dyDescent="0.25">
      <c r="F242" s="2"/>
      <c r="G242" s="2"/>
    </row>
    <row r="243" spans="6:7" x14ac:dyDescent="0.25">
      <c r="F243" s="2"/>
      <c r="G243" s="2"/>
    </row>
    <row r="244" spans="6:7" x14ac:dyDescent="0.25">
      <c r="F244" s="2"/>
      <c r="G244" s="2"/>
    </row>
    <row r="245" spans="6:7" x14ac:dyDescent="0.25">
      <c r="F245" s="2"/>
      <c r="G245" s="2"/>
    </row>
    <row r="246" spans="6:7" x14ac:dyDescent="0.25">
      <c r="F246" s="2"/>
      <c r="G246" s="2"/>
    </row>
    <row r="247" spans="6:7" x14ac:dyDescent="0.25">
      <c r="F247" s="2"/>
      <c r="G247" s="2"/>
    </row>
    <row r="248" spans="6:7" x14ac:dyDescent="0.25">
      <c r="F248" s="2"/>
      <c r="G248" s="2"/>
    </row>
    <row r="249" spans="6:7" x14ac:dyDescent="0.25">
      <c r="F249" s="2"/>
      <c r="G249" s="2"/>
    </row>
    <row r="250" spans="6:7" x14ac:dyDescent="0.25">
      <c r="F250" s="2"/>
      <c r="G250" s="2"/>
    </row>
    <row r="251" spans="6:7" x14ac:dyDescent="0.25">
      <c r="F251" s="2"/>
      <c r="G251" s="2"/>
    </row>
    <row r="252" spans="6:7" x14ac:dyDescent="0.25">
      <c r="F252" s="2"/>
      <c r="G252" s="2"/>
    </row>
    <row r="253" spans="6:7" x14ac:dyDescent="0.25">
      <c r="F253" s="2"/>
      <c r="G253" s="2"/>
    </row>
    <row r="254" spans="6:7" x14ac:dyDescent="0.25">
      <c r="F254" s="2"/>
      <c r="G254" s="2"/>
    </row>
    <row r="255" spans="6:7" x14ac:dyDescent="0.25">
      <c r="F255" s="2"/>
      <c r="G255" s="2"/>
    </row>
    <row r="256" spans="6:7" x14ac:dyDescent="0.25">
      <c r="F256" s="2"/>
      <c r="G256" s="2"/>
    </row>
    <row r="257" spans="6:7" x14ac:dyDescent="0.25">
      <c r="F257" s="2"/>
      <c r="G257" s="2"/>
    </row>
    <row r="258" spans="6:7" x14ac:dyDescent="0.25">
      <c r="F258" s="2"/>
      <c r="G258" s="2"/>
    </row>
    <row r="259" spans="6:7" x14ac:dyDescent="0.25">
      <c r="F259" s="2"/>
      <c r="G259" s="2"/>
    </row>
    <row r="260" spans="6:7" x14ac:dyDescent="0.25">
      <c r="F260" s="2"/>
      <c r="G260" s="2"/>
    </row>
    <row r="261" spans="6:7" x14ac:dyDescent="0.25">
      <c r="F261" s="2"/>
      <c r="G261" s="2"/>
    </row>
    <row r="262" spans="6:7" x14ac:dyDescent="0.25">
      <c r="F262" s="2"/>
      <c r="G262" s="2"/>
    </row>
    <row r="263" spans="6:7" x14ac:dyDescent="0.25">
      <c r="F263" s="2"/>
      <c r="G263" s="2"/>
    </row>
    <row r="264" spans="6:7" x14ac:dyDescent="0.25">
      <c r="F264" s="2"/>
      <c r="G264" s="2"/>
    </row>
    <row r="265" spans="6:7" x14ac:dyDescent="0.25">
      <c r="F265" s="2"/>
      <c r="G265" s="2"/>
    </row>
    <row r="266" spans="6:7" x14ac:dyDescent="0.25">
      <c r="F266" s="2"/>
      <c r="G266" s="2"/>
    </row>
    <row r="267" spans="6:7" x14ac:dyDescent="0.25">
      <c r="F267" s="2"/>
      <c r="G267" s="2"/>
    </row>
    <row r="268" spans="6:7" x14ac:dyDescent="0.25">
      <c r="F268" s="2"/>
      <c r="G268" s="2"/>
    </row>
    <row r="269" spans="6:7" x14ac:dyDescent="0.25">
      <c r="F269" s="2"/>
      <c r="G269" s="2"/>
    </row>
    <row r="270" spans="6:7" x14ac:dyDescent="0.25">
      <c r="F270" s="2"/>
      <c r="G270" s="2"/>
    </row>
    <row r="271" spans="6:7" x14ac:dyDescent="0.25">
      <c r="F271" s="2"/>
      <c r="G271" s="2"/>
    </row>
    <row r="272" spans="6:7" x14ac:dyDescent="0.25">
      <c r="F272" s="2"/>
      <c r="G272" s="2"/>
    </row>
    <row r="273" spans="6:7" x14ac:dyDescent="0.25">
      <c r="F273" s="2"/>
      <c r="G273" s="2"/>
    </row>
    <row r="274" spans="6:7" x14ac:dyDescent="0.25">
      <c r="F274" s="2"/>
      <c r="G274" s="2"/>
    </row>
    <row r="275" spans="6:7" x14ac:dyDescent="0.25">
      <c r="F275" s="2"/>
      <c r="G275" s="2"/>
    </row>
    <row r="276" spans="6:7" x14ac:dyDescent="0.25">
      <c r="F276" s="2"/>
      <c r="G276" s="2"/>
    </row>
    <row r="277" spans="6:7" x14ac:dyDescent="0.25">
      <c r="F277" s="2"/>
      <c r="G277" s="2"/>
    </row>
    <row r="278" spans="6:7" x14ac:dyDescent="0.25">
      <c r="F278" s="2"/>
      <c r="G278" s="2"/>
    </row>
    <row r="279" spans="6:7" x14ac:dyDescent="0.25">
      <c r="F279" s="2"/>
      <c r="G279" s="2"/>
    </row>
    <row r="280" spans="6:7" x14ac:dyDescent="0.25">
      <c r="F280" s="2"/>
      <c r="G280" s="2"/>
    </row>
    <row r="281" spans="6:7" x14ac:dyDescent="0.25">
      <c r="F281" s="2"/>
      <c r="G281" s="2"/>
    </row>
    <row r="282" spans="6:7" x14ac:dyDescent="0.25">
      <c r="F282" s="2"/>
      <c r="G282" s="2"/>
    </row>
    <row r="283" spans="6:7" x14ac:dyDescent="0.25">
      <c r="F283" s="2"/>
      <c r="G283" s="2"/>
    </row>
    <row r="284" spans="6:7" x14ac:dyDescent="0.25">
      <c r="F284" s="2"/>
      <c r="G284" s="2"/>
    </row>
    <row r="285" spans="6:7" x14ac:dyDescent="0.25">
      <c r="F285" s="2"/>
      <c r="G285" s="2"/>
    </row>
    <row r="286" spans="6:7" x14ac:dyDescent="0.25">
      <c r="F286" s="2"/>
      <c r="G286" s="2"/>
    </row>
    <row r="287" spans="6:7" x14ac:dyDescent="0.25">
      <c r="F287" s="2"/>
      <c r="G287" s="2"/>
    </row>
    <row r="288" spans="6:7" x14ac:dyDescent="0.25">
      <c r="F288" s="2"/>
      <c r="G288" s="2"/>
    </row>
    <row r="289" spans="6:7" x14ac:dyDescent="0.25">
      <c r="F289" s="2"/>
      <c r="G289" s="2"/>
    </row>
    <row r="290" spans="6:7" x14ac:dyDescent="0.25">
      <c r="F290" s="2"/>
      <c r="G290" s="2"/>
    </row>
    <row r="291" spans="6:7" x14ac:dyDescent="0.25">
      <c r="F291" s="2"/>
      <c r="G291" s="2"/>
    </row>
    <row r="292" spans="6:7" x14ac:dyDescent="0.25">
      <c r="F292" s="2"/>
      <c r="G292" s="2"/>
    </row>
    <row r="293" spans="6:7" x14ac:dyDescent="0.25">
      <c r="F293" s="2"/>
      <c r="G293" s="2"/>
    </row>
    <row r="294" spans="6:7" x14ac:dyDescent="0.25">
      <c r="F294" s="2"/>
      <c r="G294" s="2"/>
    </row>
    <row r="295" spans="6:7" x14ac:dyDescent="0.25">
      <c r="F295" s="2"/>
      <c r="G295" s="2"/>
    </row>
    <row r="296" spans="6:7" x14ac:dyDescent="0.25">
      <c r="F296" s="2"/>
      <c r="G296" s="2"/>
    </row>
    <row r="297" spans="6:7" x14ac:dyDescent="0.25">
      <c r="F297" s="2"/>
      <c r="G297" s="2"/>
    </row>
    <row r="298" spans="6:7" x14ac:dyDescent="0.25">
      <c r="F298" s="2"/>
      <c r="G298" s="2"/>
    </row>
    <row r="299" spans="6:7" x14ac:dyDescent="0.25">
      <c r="F299" s="2"/>
      <c r="G299" s="2"/>
    </row>
    <row r="300" spans="6:7" x14ac:dyDescent="0.25">
      <c r="F300" s="2"/>
      <c r="G300" s="2"/>
    </row>
    <row r="301" spans="6:7" x14ac:dyDescent="0.25">
      <c r="F301" s="2"/>
      <c r="G301" s="2"/>
    </row>
    <row r="302" spans="6:7" x14ac:dyDescent="0.25">
      <c r="F302" s="2"/>
      <c r="G302" s="2"/>
    </row>
    <row r="303" spans="6:7" x14ac:dyDescent="0.25">
      <c r="F303" s="2"/>
      <c r="G303" s="2"/>
    </row>
    <row r="304" spans="6:7" x14ac:dyDescent="0.25">
      <c r="F304" s="2"/>
      <c r="G304" s="2"/>
    </row>
    <row r="305" spans="6:7" x14ac:dyDescent="0.25">
      <c r="F305" s="2"/>
      <c r="G305" s="2"/>
    </row>
    <row r="306" spans="6:7" x14ac:dyDescent="0.25">
      <c r="F306" s="2"/>
      <c r="G306" s="2"/>
    </row>
    <row r="307" spans="6:7" x14ac:dyDescent="0.25">
      <c r="F307" s="2"/>
      <c r="G307" s="2"/>
    </row>
    <row r="308" spans="6:7" x14ac:dyDescent="0.25">
      <c r="F308" s="2"/>
      <c r="G308" s="2"/>
    </row>
    <row r="309" spans="6:7" x14ac:dyDescent="0.25">
      <c r="F309" s="2"/>
      <c r="G309" s="2"/>
    </row>
    <row r="310" spans="6:7" x14ac:dyDescent="0.25">
      <c r="F310" s="2"/>
      <c r="G310" s="2"/>
    </row>
    <row r="311" spans="6:7" x14ac:dyDescent="0.25">
      <c r="F311" s="2"/>
      <c r="G311" s="2"/>
    </row>
    <row r="312" spans="6:7" x14ac:dyDescent="0.25">
      <c r="F312" s="2"/>
      <c r="G312" s="2"/>
    </row>
    <row r="313" spans="6:7" x14ac:dyDescent="0.25">
      <c r="F313" s="2"/>
      <c r="G313" s="2"/>
    </row>
    <row r="314" spans="6:7" x14ac:dyDescent="0.25">
      <c r="F314" s="2"/>
      <c r="G314" s="2"/>
    </row>
    <row r="315" spans="6:7" x14ac:dyDescent="0.25">
      <c r="F315" s="2"/>
      <c r="G315" s="2"/>
    </row>
    <row r="316" spans="6:7" x14ac:dyDescent="0.25">
      <c r="F316" s="2"/>
      <c r="G316" s="2"/>
    </row>
    <row r="317" spans="6:7" x14ac:dyDescent="0.25">
      <c r="F317" s="2"/>
      <c r="G317" s="2"/>
    </row>
    <row r="318" spans="6:7" x14ac:dyDescent="0.25">
      <c r="F318" s="2"/>
      <c r="G318" s="2"/>
    </row>
    <row r="319" spans="6:7" x14ac:dyDescent="0.25">
      <c r="F319" s="2"/>
      <c r="G319" s="2"/>
    </row>
    <row r="320" spans="6:7" x14ac:dyDescent="0.25">
      <c r="F320" s="2"/>
      <c r="G320" s="2"/>
    </row>
    <row r="321" spans="6:7" x14ac:dyDescent="0.25">
      <c r="F321" s="2"/>
      <c r="G321" s="2"/>
    </row>
    <row r="322" spans="6:7" x14ac:dyDescent="0.25">
      <c r="F322" s="2"/>
      <c r="G322" s="2"/>
    </row>
    <row r="323" spans="6:7" x14ac:dyDescent="0.25">
      <c r="F323" s="2"/>
      <c r="G323" s="2"/>
    </row>
  </sheetData>
  <mergeCells count="2">
    <mergeCell ref="B3:G3"/>
    <mergeCell ref="B5:F5"/>
  </mergeCells>
  <conditionalFormatting sqref="B6:G55">
    <cfRule type="notContainsBlanks" dxfId="11" priority="1">
      <formula>LEN(TRIM(B6))&gt;0</formula>
    </cfRule>
  </conditionalFormatting>
  <dataValidations count="1">
    <dataValidation type="list" allowBlank="1" showInputMessage="1" showErrorMessage="1" sqref="E6:E55">
      <formula1>$I$6:$I$7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3"/>
  <sheetViews>
    <sheetView showGridLines="0" workbookViewId="0">
      <selection activeCell="K8" sqref="K8"/>
    </sheetView>
  </sheetViews>
  <sheetFormatPr defaultRowHeight="15" x14ac:dyDescent="0.25"/>
  <cols>
    <col min="1" max="1" width="5.85546875" style="1" customWidth="1"/>
    <col min="2" max="2" width="4.7109375" style="1" customWidth="1"/>
    <col min="3" max="3" width="12.140625" style="1" customWidth="1"/>
    <col min="4" max="4" width="30.85546875" style="1" customWidth="1"/>
    <col min="5" max="6" width="9.140625" style="1"/>
    <col min="7" max="8" width="11.28515625" style="1" customWidth="1"/>
    <col min="9" max="9" width="5" style="1" customWidth="1"/>
    <col min="10" max="10" width="9.7109375" style="1" customWidth="1"/>
    <col min="11" max="14" width="11.28515625" style="1" customWidth="1"/>
    <col min="15" max="15" width="9.140625" style="1"/>
    <col min="16" max="16" width="10.42578125" style="1" customWidth="1"/>
    <col min="17" max="16384" width="9.140625" style="1"/>
  </cols>
  <sheetData>
    <row r="1" spans="2:14" ht="19.5" customHeight="1" x14ac:dyDescent="0.25"/>
    <row r="2" spans="2:14" ht="18.75" x14ac:dyDescent="0.25">
      <c r="B2" s="28" t="s">
        <v>40</v>
      </c>
      <c r="E2" s="27"/>
    </row>
    <row r="3" spans="2:14" x14ac:dyDescent="0.25">
      <c r="B3" s="280" t="str">
        <f>"Periode "&amp;TEXT(DATE(YEAR(C6),MONTH(C6),DAY(1)),"dd mmmm yyy")&amp;" s.d. "&amp;TEXT(MAX(C6:C55),"dd mmmm yyy")</f>
        <v>Periode 01 Januari 2019 s.d. 15 Januari 2019</v>
      </c>
      <c r="C3" s="280"/>
      <c r="D3" s="280"/>
      <c r="E3" s="280"/>
      <c r="F3" s="280"/>
      <c r="G3" s="280"/>
      <c r="H3" s="280"/>
    </row>
    <row r="4" spans="2:14" x14ac:dyDescent="0.25">
      <c r="B4" s="34" t="s">
        <v>19</v>
      </c>
      <c r="C4" s="35" t="s">
        <v>18</v>
      </c>
      <c r="D4" s="35" t="s">
        <v>17</v>
      </c>
      <c r="E4" s="35" t="s">
        <v>16</v>
      </c>
      <c r="F4" s="35" t="s">
        <v>39</v>
      </c>
      <c r="G4" s="35" t="s">
        <v>15</v>
      </c>
      <c r="H4" s="34" t="s">
        <v>14</v>
      </c>
      <c r="J4" s="49" t="s">
        <v>39</v>
      </c>
      <c r="K4" s="50" t="s">
        <v>13</v>
      </c>
      <c r="L4" s="50" t="s">
        <v>28</v>
      </c>
      <c r="M4" s="50" t="s">
        <v>23</v>
      </c>
      <c r="N4" s="49" t="s">
        <v>38</v>
      </c>
    </row>
    <row r="5" spans="2:14" x14ac:dyDescent="0.25">
      <c r="B5" s="31"/>
      <c r="C5" s="32"/>
      <c r="D5" s="33" t="s">
        <v>37</v>
      </c>
      <c r="E5" s="33"/>
      <c r="F5" s="33"/>
      <c r="G5" s="48"/>
      <c r="H5" s="39">
        <f>K8</f>
        <v>20250000</v>
      </c>
      <c r="J5" s="60" t="s">
        <v>63</v>
      </c>
      <c r="K5" s="61">
        <v>250000</v>
      </c>
      <c r="L5" s="61">
        <f>SUMIFS(G$6:G$55,E$6:E$55,L$4,F$6:F$55,J5)</f>
        <v>11250000</v>
      </c>
      <c r="M5" s="61">
        <f>SUMIFS(G$6:G$55,E$6:E$55,M$4,F$6:F$55,J5)</f>
        <v>11050000</v>
      </c>
      <c r="N5" s="62">
        <f>K5+L5-M5</f>
        <v>450000</v>
      </c>
    </row>
    <row r="6" spans="2:14" x14ac:dyDescent="0.25">
      <c r="B6" s="47">
        <f>IF(G6="","",1)</f>
        <v>1</v>
      </c>
      <c r="C6" s="6">
        <v>43466</v>
      </c>
      <c r="D6" s="3" t="s">
        <v>68</v>
      </c>
      <c r="E6" s="3" t="s">
        <v>28</v>
      </c>
      <c r="F6" s="3" t="s">
        <v>35</v>
      </c>
      <c r="G6" s="4">
        <v>10000000</v>
      </c>
      <c r="H6" s="4">
        <f t="shared" ref="H6:H55" si="0">IF(F6="","",IF(E6="Masuk",H5+G6,H5-G6))</f>
        <v>30250000</v>
      </c>
      <c r="J6" s="52" t="s">
        <v>35</v>
      </c>
      <c r="K6" s="51">
        <v>7500000</v>
      </c>
      <c r="L6" s="51">
        <f t="shared" ref="L6:L7" si="1">SUMIFS(G$6:G$55,E$6:E$55,L$4,F$6:F$55,J6)</f>
        <v>10000000</v>
      </c>
      <c r="M6" s="51">
        <f t="shared" ref="M6:M7" si="2">SUMIFS(G$6:G$55,E$6:E$55,M$4,F$6:F$55,J6)</f>
        <v>2002500</v>
      </c>
      <c r="N6" s="53">
        <f>K6+L6-M6</f>
        <v>15497500</v>
      </c>
    </row>
    <row r="7" spans="2:14" x14ac:dyDescent="0.25">
      <c r="B7" s="47">
        <f>IF(G7="","",B6+1)</f>
        <v>2</v>
      </c>
      <c r="C7" s="6">
        <v>43467</v>
      </c>
      <c r="D7" s="3" t="s">
        <v>36</v>
      </c>
      <c r="E7" s="3" t="s">
        <v>23</v>
      </c>
      <c r="F7" s="3" t="s">
        <v>27</v>
      </c>
      <c r="G7" s="4">
        <v>2500000</v>
      </c>
      <c r="H7" s="4">
        <f t="shared" si="0"/>
        <v>27750000</v>
      </c>
      <c r="J7" s="54" t="s">
        <v>27</v>
      </c>
      <c r="K7" s="55">
        <v>12500000</v>
      </c>
      <c r="L7" s="55">
        <f t="shared" si="1"/>
        <v>8750000</v>
      </c>
      <c r="M7" s="55">
        <f t="shared" si="2"/>
        <v>4000000</v>
      </c>
      <c r="N7" s="56">
        <f>K7+L7-M7</f>
        <v>17250000</v>
      </c>
    </row>
    <row r="8" spans="2:14" x14ac:dyDescent="0.25">
      <c r="B8" s="47">
        <f t="shared" ref="B8:B55" si="3">IF(G8="","",B7+1)</f>
        <v>3</v>
      </c>
      <c r="C8" s="6">
        <v>43467</v>
      </c>
      <c r="D8" s="3" t="s">
        <v>7</v>
      </c>
      <c r="E8" s="3" t="s">
        <v>23</v>
      </c>
      <c r="F8" s="3" t="s">
        <v>35</v>
      </c>
      <c r="G8" s="4">
        <v>1002500</v>
      </c>
      <c r="H8" s="4">
        <f t="shared" si="0"/>
        <v>26747500</v>
      </c>
      <c r="J8" s="57"/>
      <c r="K8" s="58">
        <f>SUM(K5:K7)</f>
        <v>20250000</v>
      </c>
      <c r="L8" s="281" t="s">
        <v>15</v>
      </c>
      <c r="M8" s="282"/>
      <c r="N8" s="59">
        <f>SUM(N5:N7)</f>
        <v>33197500</v>
      </c>
    </row>
    <row r="9" spans="2:14" x14ac:dyDescent="0.25">
      <c r="B9" s="47">
        <f t="shared" si="3"/>
        <v>4</v>
      </c>
      <c r="C9" s="6">
        <v>43468</v>
      </c>
      <c r="D9" s="3" t="s">
        <v>71</v>
      </c>
      <c r="E9" s="3" t="s">
        <v>23</v>
      </c>
      <c r="F9" s="3" t="s">
        <v>35</v>
      </c>
      <c r="G9" s="4">
        <v>1000000</v>
      </c>
      <c r="H9" s="4">
        <f t="shared" si="0"/>
        <v>25747500</v>
      </c>
      <c r="K9" s="4"/>
      <c r="L9" s="4"/>
      <c r="M9" s="4"/>
      <c r="N9" s="4"/>
    </row>
    <row r="10" spans="2:14" x14ac:dyDescent="0.25">
      <c r="B10" s="47">
        <f t="shared" si="3"/>
        <v>5</v>
      </c>
      <c r="C10" s="6">
        <v>43468</v>
      </c>
      <c r="D10" s="3" t="s">
        <v>34</v>
      </c>
      <c r="E10" s="3" t="s">
        <v>28</v>
      </c>
      <c r="F10" s="3" t="s">
        <v>63</v>
      </c>
      <c r="G10" s="4">
        <v>1000000</v>
      </c>
      <c r="H10" s="4">
        <f t="shared" si="0"/>
        <v>26747500</v>
      </c>
      <c r="K10" s="4"/>
      <c r="L10" s="4"/>
      <c r="M10" s="4"/>
      <c r="N10" s="4"/>
    </row>
    <row r="11" spans="2:14" x14ac:dyDescent="0.25">
      <c r="B11" s="47">
        <f t="shared" si="3"/>
        <v>6</v>
      </c>
      <c r="C11" s="6">
        <v>43469</v>
      </c>
      <c r="D11" s="3" t="s">
        <v>10</v>
      </c>
      <c r="E11" s="3" t="s">
        <v>23</v>
      </c>
      <c r="F11" s="3" t="s">
        <v>63</v>
      </c>
      <c r="G11" s="4">
        <v>725000</v>
      </c>
      <c r="H11" s="4">
        <f t="shared" si="0"/>
        <v>26022500</v>
      </c>
    </row>
    <row r="12" spans="2:14" x14ac:dyDescent="0.25">
      <c r="B12" s="47">
        <f t="shared" si="3"/>
        <v>7</v>
      </c>
      <c r="C12" s="6">
        <v>43470</v>
      </c>
      <c r="D12" s="3" t="s">
        <v>33</v>
      </c>
      <c r="E12" s="3" t="s">
        <v>28</v>
      </c>
      <c r="F12" s="3" t="s">
        <v>63</v>
      </c>
      <c r="G12" s="4">
        <v>8750000</v>
      </c>
      <c r="H12" s="4">
        <f t="shared" si="0"/>
        <v>34772500</v>
      </c>
    </row>
    <row r="13" spans="2:14" x14ac:dyDescent="0.25">
      <c r="B13" s="47">
        <f t="shared" si="3"/>
        <v>8</v>
      </c>
      <c r="C13" s="6">
        <f>C12</f>
        <v>43470</v>
      </c>
      <c r="D13" s="3" t="s">
        <v>32</v>
      </c>
      <c r="E13" s="3" t="s">
        <v>23</v>
      </c>
      <c r="F13" s="3" t="s">
        <v>63</v>
      </c>
      <c r="G13" s="4">
        <v>8750000</v>
      </c>
      <c r="H13" s="4">
        <f t="shared" si="0"/>
        <v>26022500</v>
      </c>
    </row>
    <row r="14" spans="2:14" x14ac:dyDescent="0.25">
      <c r="B14" s="47">
        <f t="shared" si="3"/>
        <v>9</v>
      </c>
      <c r="C14" s="6">
        <f>C13</f>
        <v>43470</v>
      </c>
      <c r="D14" s="3" t="s">
        <v>69</v>
      </c>
      <c r="E14" s="3" t="s">
        <v>28</v>
      </c>
      <c r="F14" s="3" t="s">
        <v>27</v>
      </c>
      <c r="G14" s="4">
        <f>G13</f>
        <v>8750000</v>
      </c>
      <c r="H14" s="4">
        <f t="shared" si="0"/>
        <v>34772500</v>
      </c>
    </row>
    <row r="15" spans="2:14" x14ac:dyDescent="0.25">
      <c r="B15" s="47">
        <f t="shared" si="3"/>
        <v>10</v>
      </c>
      <c r="C15" s="6">
        <v>43471</v>
      </c>
      <c r="D15" s="3" t="s">
        <v>31</v>
      </c>
      <c r="E15" s="3" t="s">
        <v>23</v>
      </c>
      <c r="F15" s="3" t="s">
        <v>63</v>
      </c>
      <c r="G15" s="4">
        <v>125000</v>
      </c>
      <c r="H15" s="4">
        <f t="shared" si="0"/>
        <v>34647500</v>
      </c>
    </row>
    <row r="16" spans="2:14" x14ac:dyDescent="0.25">
      <c r="B16" s="47">
        <f t="shared" si="3"/>
        <v>11</v>
      </c>
      <c r="C16" s="6">
        <v>43472</v>
      </c>
      <c r="D16" s="3" t="s">
        <v>30</v>
      </c>
      <c r="E16" s="3" t="s">
        <v>23</v>
      </c>
      <c r="F16" s="3" t="s">
        <v>63</v>
      </c>
      <c r="G16" s="4">
        <v>125000</v>
      </c>
      <c r="H16" s="4">
        <f t="shared" si="0"/>
        <v>34522500</v>
      </c>
    </row>
    <row r="17" spans="2:8" x14ac:dyDescent="0.25">
      <c r="B17" s="47">
        <f t="shared" si="3"/>
        <v>12</v>
      </c>
      <c r="C17" s="6">
        <v>43473</v>
      </c>
      <c r="D17" s="3" t="s">
        <v>29</v>
      </c>
      <c r="E17" s="3" t="s">
        <v>28</v>
      </c>
      <c r="F17" s="3" t="s">
        <v>63</v>
      </c>
      <c r="G17" s="4">
        <v>1500000</v>
      </c>
      <c r="H17" s="4">
        <f t="shared" si="0"/>
        <v>36022500</v>
      </c>
    </row>
    <row r="18" spans="2:8" x14ac:dyDescent="0.25">
      <c r="B18" s="47">
        <f t="shared" si="3"/>
        <v>13</v>
      </c>
      <c r="C18" s="6">
        <f>C17</f>
        <v>43473</v>
      </c>
      <c r="D18" s="3" t="s">
        <v>70</v>
      </c>
      <c r="E18" s="3" t="s">
        <v>23</v>
      </c>
      <c r="F18" s="3" t="s">
        <v>27</v>
      </c>
      <c r="G18" s="4">
        <v>1500000</v>
      </c>
      <c r="H18" s="4">
        <f t="shared" si="0"/>
        <v>34522500</v>
      </c>
    </row>
    <row r="19" spans="2:8" x14ac:dyDescent="0.25">
      <c r="B19" s="47">
        <f t="shared" si="3"/>
        <v>14</v>
      </c>
      <c r="C19" s="6">
        <v>43477</v>
      </c>
      <c r="D19" s="3" t="s">
        <v>26</v>
      </c>
      <c r="E19" s="3" t="s">
        <v>23</v>
      </c>
      <c r="F19" s="3" t="s">
        <v>63</v>
      </c>
      <c r="G19" s="4">
        <v>200000</v>
      </c>
      <c r="H19" s="4">
        <f t="shared" si="0"/>
        <v>34322500</v>
      </c>
    </row>
    <row r="20" spans="2:8" x14ac:dyDescent="0.25">
      <c r="B20" s="47">
        <f t="shared" si="3"/>
        <v>15</v>
      </c>
      <c r="C20" s="6">
        <v>43479</v>
      </c>
      <c r="D20" s="3" t="s">
        <v>10</v>
      </c>
      <c r="E20" s="3" t="s">
        <v>23</v>
      </c>
      <c r="F20" s="3" t="s">
        <v>63</v>
      </c>
      <c r="G20" s="4">
        <v>525000</v>
      </c>
      <c r="H20" s="4">
        <f t="shared" si="0"/>
        <v>33797500</v>
      </c>
    </row>
    <row r="21" spans="2:8" x14ac:dyDescent="0.25">
      <c r="B21" s="47">
        <f t="shared" si="3"/>
        <v>16</v>
      </c>
      <c r="C21" s="6">
        <v>43480</v>
      </c>
      <c r="D21" s="3" t="s">
        <v>25</v>
      </c>
      <c r="E21" s="3" t="s">
        <v>23</v>
      </c>
      <c r="F21" s="3" t="s">
        <v>63</v>
      </c>
      <c r="G21" s="4">
        <v>175000</v>
      </c>
      <c r="H21" s="4">
        <f t="shared" si="0"/>
        <v>33622500</v>
      </c>
    </row>
    <row r="22" spans="2:8" x14ac:dyDescent="0.25">
      <c r="B22" s="47">
        <f t="shared" si="3"/>
        <v>17</v>
      </c>
      <c r="C22" s="6">
        <v>43480</v>
      </c>
      <c r="D22" s="3" t="s">
        <v>24</v>
      </c>
      <c r="E22" s="3" t="s">
        <v>23</v>
      </c>
      <c r="F22" s="3" t="s">
        <v>63</v>
      </c>
      <c r="G22" s="4">
        <v>425000</v>
      </c>
      <c r="H22" s="4">
        <f t="shared" si="0"/>
        <v>33197500</v>
      </c>
    </row>
    <row r="23" spans="2:8" x14ac:dyDescent="0.25">
      <c r="B23" s="47" t="str">
        <f t="shared" si="3"/>
        <v/>
      </c>
      <c r="C23" s="46"/>
      <c r="D23" s="3"/>
      <c r="E23" s="3"/>
      <c r="F23" s="3"/>
      <c r="G23" s="4"/>
      <c r="H23" s="4" t="str">
        <f t="shared" si="0"/>
        <v/>
      </c>
    </row>
    <row r="24" spans="2:8" x14ac:dyDescent="0.25">
      <c r="B24" s="47" t="str">
        <f t="shared" si="3"/>
        <v/>
      </c>
      <c r="C24" s="46"/>
      <c r="D24" s="3"/>
      <c r="E24" s="3"/>
      <c r="F24" s="3"/>
      <c r="G24" s="4"/>
      <c r="H24" s="4" t="str">
        <f t="shared" si="0"/>
        <v/>
      </c>
    </row>
    <row r="25" spans="2:8" ht="19.5" customHeight="1" x14ac:dyDescent="0.25">
      <c r="B25" s="47" t="str">
        <f t="shared" si="3"/>
        <v/>
      </c>
      <c r="C25" s="46"/>
      <c r="D25" s="3"/>
      <c r="E25" s="3"/>
      <c r="F25" s="3"/>
      <c r="G25" s="4"/>
      <c r="H25" s="4" t="str">
        <f t="shared" si="0"/>
        <v/>
      </c>
    </row>
    <row r="26" spans="2:8" x14ac:dyDescent="0.25">
      <c r="B26" s="47" t="str">
        <f t="shared" si="3"/>
        <v/>
      </c>
      <c r="C26" s="46"/>
      <c r="D26" s="3"/>
      <c r="E26" s="3"/>
      <c r="F26" s="3"/>
      <c r="G26" s="4"/>
      <c r="H26" s="4" t="str">
        <f t="shared" si="0"/>
        <v/>
      </c>
    </row>
    <row r="27" spans="2:8" x14ac:dyDescent="0.25">
      <c r="B27" s="47" t="str">
        <f t="shared" si="3"/>
        <v/>
      </c>
      <c r="C27" s="46"/>
      <c r="D27" s="3"/>
      <c r="E27" s="3"/>
      <c r="F27" s="3"/>
      <c r="G27" s="4"/>
      <c r="H27" s="4" t="str">
        <f t="shared" si="0"/>
        <v/>
      </c>
    </row>
    <row r="28" spans="2:8" x14ac:dyDescent="0.25">
      <c r="B28" s="47" t="str">
        <f t="shared" si="3"/>
        <v/>
      </c>
      <c r="C28" s="46"/>
      <c r="D28" s="3"/>
      <c r="E28" s="3"/>
      <c r="F28" s="3"/>
      <c r="G28" s="4"/>
      <c r="H28" s="4" t="str">
        <f t="shared" si="0"/>
        <v/>
      </c>
    </row>
    <row r="29" spans="2:8" x14ac:dyDescent="0.25">
      <c r="B29" s="47" t="str">
        <f t="shared" si="3"/>
        <v/>
      </c>
      <c r="C29" s="46"/>
      <c r="D29" s="3"/>
      <c r="E29" s="3"/>
      <c r="F29" s="3"/>
      <c r="G29" s="4"/>
      <c r="H29" s="4" t="str">
        <f t="shared" si="0"/>
        <v/>
      </c>
    </row>
    <row r="30" spans="2:8" x14ac:dyDescent="0.25">
      <c r="B30" s="47" t="str">
        <f t="shared" si="3"/>
        <v/>
      </c>
      <c r="C30" s="46"/>
      <c r="D30" s="3"/>
      <c r="E30" s="3"/>
      <c r="F30" s="3"/>
      <c r="G30" s="4"/>
      <c r="H30" s="4" t="str">
        <f t="shared" si="0"/>
        <v/>
      </c>
    </row>
    <row r="31" spans="2:8" x14ac:dyDescent="0.25">
      <c r="B31" s="47" t="str">
        <f t="shared" si="3"/>
        <v/>
      </c>
      <c r="C31" s="46"/>
      <c r="D31" s="3"/>
      <c r="E31" s="3"/>
      <c r="F31" s="3"/>
      <c r="G31" s="4"/>
      <c r="H31" s="4" t="str">
        <f t="shared" si="0"/>
        <v/>
      </c>
    </row>
    <row r="32" spans="2:8" x14ac:dyDescent="0.25">
      <c r="B32" s="47" t="str">
        <f t="shared" si="3"/>
        <v/>
      </c>
      <c r="C32" s="46"/>
      <c r="D32" s="3"/>
      <c r="E32" s="3"/>
      <c r="F32" s="3"/>
      <c r="G32" s="4"/>
      <c r="H32" s="4" t="str">
        <f t="shared" si="0"/>
        <v/>
      </c>
    </row>
    <row r="33" spans="2:8" x14ac:dyDescent="0.25">
      <c r="B33" s="47" t="str">
        <f t="shared" si="3"/>
        <v/>
      </c>
      <c r="C33" s="46"/>
      <c r="D33" s="3"/>
      <c r="E33" s="3"/>
      <c r="F33" s="3"/>
      <c r="G33" s="4"/>
      <c r="H33" s="4" t="str">
        <f t="shared" si="0"/>
        <v/>
      </c>
    </row>
    <row r="34" spans="2:8" x14ac:dyDescent="0.25">
      <c r="B34" s="47" t="str">
        <f t="shared" si="3"/>
        <v/>
      </c>
      <c r="C34" s="46"/>
      <c r="D34" s="3"/>
      <c r="E34" s="3"/>
      <c r="F34" s="3"/>
      <c r="G34" s="4"/>
      <c r="H34" s="4" t="str">
        <f t="shared" si="0"/>
        <v/>
      </c>
    </row>
    <row r="35" spans="2:8" x14ac:dyDescent="0.25">
      <c r="B35" s="47" t="str">
        <f t="shared" si="3"/>
        <v/>
      </c>
      <c r="C35" s="46"/>
      <c r="D35" s="3"/>
      <c r="E35" s="3"/>
      <c r="F35" s="3"/>
      <c r="G35" s="4"/>
      <c r="H35" s="4" t="str">
        <f t="shared" si="0"/>
        <v/>
      </c>
    </row>
    <row r="36" spans="2:8" x14ac:dyDescent="0.25">
      <c r="B36" s="47" t="str">
        <f t="shared" si="3"/>
        <v/>
      </c>
      <c r="C36" s="46"/>
      <c r="D36" s="3"/>
      <c r="E36" s="3"/>
      <c r="F36" s="3"/>
      <c r="G36" s="4"/>
      <c r="H36" s="4" t="str">
        <f t="shared" si="0"/>
        <v/>
      </c>
    </row>
    <row r="37" spans="2:8" x14ac:dyDescent="0.25">
      <c r="B37" s="47" t="str">
        <f t="shared" si="3"/>
        <v/>
      </c>
      <c r="C37" s="46"/>
      <c r="D37" s="3"/>
      <c r="E37" s="3"/>
      <c r="F37" s="3"/>
      <c r="G37" s="4"/>
      <c r="H37" s="4" t="str">
        <f t="shared" si="0"/>
        <v/>
      </c>
    </row>
    <row r="38" spans="2:8" x14ac:dyDescent="0.25">
      <c r="B38" s="47" t="str">
        <f t="shared" si="3"/>
        <v/>
      </c>
      <c r="C38" s="46"/>
      <c r="D38" s="3"/>
      <c r="E38" s="3"/>
      <c r="F38" s="3"/>
      <c r="G38" s="4"/>
      <c r="H38" s="4" t="str">
        <f t="shared" si="0"/>
        <v/>
      </c>
    </row>
    <row r="39" spans="2:8" x14ac:dyDescent="0.25">
      <c r="B39" s="47" t="str">
        <f t="shared" si="3"/>
        <v/>
      </c>
      <c r="C39" s="46"/>
      <c r="D39" s="3"/>
      <c r="E39" s="3"/>
      <c r="F39" s="3"/>
      <c r="G39" s="4"/>
      <c r="H39" s="4" t="str">
        <f t="shared" si="0"/>
        <v/>
      </c>
    </row>
    <row r="40" spans="2:8" x14ac:dyDescent="0.25">
      <c r="B40" s="47" t="str">
        <f t="shared" si="3"/>
        <v/>
      </c>
      <c r="C40" s="46"/>
      <c r="D40" s="3"/>
      <c r="E40" s="3"/>
      <c r="F40" s="3"/>
      <c r="G40" s="4"/>
      <c r="H40" s="4" t="str">
        <f t="shared" si="0"/>
        <v/>
      </c>
    </row>
    <row r="41" spans="2:8" x14ac:dyDescent="0.25">
      <c r="B41" s="47" t="str">
        <f t="shared" si="3"/>
        <v/>
      </c>
      <c r="C41" s="46"/>
      <c r="D41" s="3"/>
      <c r="E41" s="3"/>
      <c r="F41" s="3"/>
      <c r="G41" s="4"/>
      <c r="H41" s="4" t="str">
        <f t="shared" si="0"/>
        <v/>
      </c>
    </row>
    <row r="42" spans="2:8" x14ac:dyDescent="0.25">
      <c r="B42" s="47" t="str">
        <f t="shared" si="3"/>
        <v/>
      </c>
      <c r="C42" s="46"/>
      <c r="D42" s="3"/>
      <c r="E42" s="3"/>
      <c r="F42" s="3"/>
      <c r="G42" s="4"/>
      <c r="H42" s="4" t="str">
        <f t="shared" si="0"/>
        <v/>
      </c>
    </row>
    <row r="43" spans="2:8" x14ac:dyDescent="0.25">
      <c r="B43" s="47" t="str">
        <f t="shared" si="3"/>
        <v/>
      </c>
      <c r="C43" s="46"/>
      <c r="D43" s="3"/>
      <c r="E43" s="3"/>
      <c r="F43" s="3"/>
      <c r="G43" s="4"/>
      <c r="H43" s="4" t="str">
        <f t="shared" si="0"/>
        <v/>
      </c>
    </row>
    <row r="44" spans="2:8" x14ac:dyDescent="0.25">
      <c r="B44" s="47" t="str">
        <f t="shared" si="3"/>
        <v/>
      </c>
      <c r="C44" s="46"/>
      <c r="D44" s="3"/>
      <c r="E44" s="3"/>
      <c r="F44" s="3"/>
      <c r="G44" s="4"/>
      <c r="H44" s="4" t="str">
        <f t="shared" si="0"/>
        <v/>
      </c>
    </row>
    <row r="45" spans="2:8" x14ac:dyDescent="0.25">
      <c r="B45" s="47" t="str">
        <f t="shared" si="3"/>
        <v/>
      </c>
      <c r="C45" s="46"/>
      <c r="D45" s="3"/>
      <c r="E45" s="3"/>
      <c r="F45" s="3"/>
      <c r="G45" s="4"/>
      <c r="H45" s="4" t="str">
        <f t="shared" si="0"/>
        <v/>
      </c>
    </row>
    <row r="46" spans="2:8" x14ac:dyDescent="0.25">
      <c r="B46" s="47" t="str">
        <f t="shared" si="3"/>
        <v/>
      </c>
      <c r="C46" s="46"/>
      <c r="D46" s="3"/>
      <c r="E46" s="3"/>
      <c r="F46" s="3"/>
      <c r="G46" s="4"/>
      <c r="H46" s="4" t="str">
        <f t="shared" si="0"/>
        <v/>
      </c>
    </row>
    <row r="47" spans="2:8" x14ac:dyDescent="0.25">
      <c r="B47" s="47" t="str">
        <f t="shared" si="3"/>
        <v/>
      </c>
      <c r="C47" s="46"/>
      <c r="D47" s="3"/>
      <c r="E47" s="3"/>
      <c r="F47" s="3"/>
      <c r="G47" s="4"/>
      <c r="H47" s="4" t="str">
        <f t="shared" si="0"/>
        <v/>
      </c>
    </row>
    <row r="48" spans="2:8" x14ac:dyDescent="0.25">
      <c r="B48" s="47" t="str">
        <f t="shared" si="3"/>
        <v/>
      </c>
      <c r="C48" s="46"/>
      <c r="D48" s="3"/>
      <c r="E48" s="3"/>
      <c r="F48" s="3"/>
      <c r="G48" s="4"/>
      <c r="H48" s="4" t="str">
        <f t="shared" si="0"/>
        <v/>
      </c>
    </row>
    <row r="49" spans="2:8" x14ac:dyDescent="0.25">
      <c r="B49" s="47" t="str">
        <f t="shared" si="3"/>
        <v/>
      </c>
      <c r="C49" s="46"/>
      <c r="D49" s="3"/>
      <c r="E49" s="3"/>
      <c r="F49" s="3"/>
      <c r="G49" s="4"/>
      <c r="H49" s="4" t="str">
        <f t="shared" si="0"/>
        <v/>
      </c>
    </row>
    <row r="50" spans="2:8" x14ac:dyDescent="0.25">
      <c r="B50" s="47" t="str">
        <f t="shared" si="3"/>
        <v/>
      </c>
      <c r="C50" s="46"/>
      <c r="D50" s="3"/>
      <c r="E50" s="3"/>
      <c r="F50" s="3"/>
      <c r="G50" s="4"/>
      <c r="H50" s="4" t="str">
        <f t="shared" si="0"/>
        <v/>
      </c>
    </row>
    <row r="51" spans="2:8" x14ac:dyDescent="0.25">
      <c r="B51" s="47" t="str">
        <f t="shared" si="3"/>
        <v/>
      </c>
      <c r="C51" s="46"/>
      <c r="D51" s="3"/>
      <c r="E51" s="3"/>
      <c r="F51" s="3"/>
      <c r="G51" s="4"/>
      <c r="H51" s="4" t="str">
        <f t="shared" si="0"/>
        <v/>
      </c>
    </row>
    <row r="52" spans="2:8" x14ac:dyDescent="0.25">
      <c r="B52" s="47" t="str">
        <f t="shared" si="3"/>
        <v/>
      </c>
      <c r="C52" s="46"/>
      <c r="D52" s="3"/>
      <c r="E52" s="3"/>
      <c r="F52" s="3"/>
      <c r="G52" s="4"/>
      <c r="H52" s="4" t="str">
        <f t="shared" si="0"/>
        <v/>
      </c>
    </row>
    <row r="53" spans="2:8" x14ac:dyDescent="0.25">
      <c r="B53" s="47" t="str">
        <f t="shared" si="3"/>
        <v/>
      </c>
      <c r="C53" s="46"/>
      <c r="D53" s="3"/>
      <c r="E53" s="3"/>
      <c r="F53" s="3"/>
      <c r="H53" s="4" t="str">
        <f t="shared" si="0"/>
        <v/>
      </c>
    </row>
    <row r="54" spans="2:8" x14ac:dyDescent="0.25">
      <c r="B54" s="47" t="str">
        <f t="shared" si="3"/>
        <v/>
      </c>
      <c r="C54" s="46"/>
      <c r="D54" s="3"/>
      <c r="E54" s="3"/>
      <c r="F54" s="3"/>
      <c r="H54" s="4" t="str">
        <f t="shared" si="0"/>
        <v/>
      </c>
    </row>
    <row r="55" spans="2:8" x14ac:dyDescent="0.25">
      <c r="B55" s="47" t="str">
        <f t="shared" si="3"/>
        <v/>
      </c>
      <c r="C55" s="46"/>
      <c r="D55" s="3"/>
      <c r="E55" s="3"/>
      <c r="F55" s="3"/>
      <c r="H55" s="4" t="str">
        <f t="shared" si="0"/>
        <v/>
      </c>
    </row>
    <row r="56" spans="2:8" ht="19.5" customHeight="1" x14ac:dyDescent="0.25">
      <c r="B56" s="2"/>
      <c r="D56" s="3"/>
      <c r="E56" s="3"/>
      <c r="F56" s="3"/>
    </row>
    <row r="57" spans="2:8" x14ac:dyDescent="0.25">
      <c r="B57" s="2"/>
      <c r="D57" s="3"/>
      <c r="E57" s="3"/>
      <c r="F57" s="3"/>
    </row>
    <row r="58" spans="2:8" x14ac:dyDescent="0.25">
      <c r="B58" s="2"/>
      <c r="D58" s="3"/>
      <c r="E58" s="3"/>
      <c r="F58" s="3"/>
    </row>
    <row r="59" spans="2:8" x14ac:dyDescent="0.25">
      <c r="B59" s="2"/>
      <c r="D59" s="3"/>
      <c r="E59" s="3"/>
      <c r="F59" s="3"/>
    </row>
    <row r="60" spans="2:8" x14ac:dyDescent="0.25">
      <c r="B60" s="2"/>
      <c r="D60" s="3"/>
      <c r="E60" s="3"/>
      <c r="F60" s="3"/>
    </row>
    <row r="61" spans="2:8" x14ac:dyDescent="0.25">
      <c r="B61" s="2"/>
      <c r="D61" s="3"/>
      <c r="E61" s="3"/>
      <c r="F61" s="3"/>
    </row>
    <row r="62" spans="2:8" x14ac:dyDescent="0.25">
      <c r="B62" s="2"/>
      <c r="D62" s="3"/>
      <c r="E62" s="3"/>
      <c r="F62" s="3"/>
    </row>
    <row r="63" spans="2:8" x14ac:dyDescent="0.25">
      <c r="B63" s="2"/>
      <c r="D63" s="3"/>
      <c r="E63" s="3"/>
      <c r="F63" s="3"/>
    </row>
    <row r="64" spans="2:8" x14ac:dyDescent="0.25">
      <c r="B64" s="2"/>
      <c r="D64" s="3"/>
      <c r="E64" s="3"/>
      <c r="F64" s="3"/>
    </row>
    <row r="65" spans="2:6" x14ac:dyDescent="0.25">
      <c r="B65" s="2"/>
      <c r="D65" s="3"/>
      <c r="E65" s="3"/>
      <c r="F65" s="3"/>
    </row>
    <row r="66" spans="2:6" x14ac:dyDescent="0.25">
      <c r="B66" s="2"/>
      <c r="D66" s="3"/>
      <c r="E66" s="3"/>
      <c r="F66" s="3"/>
    </row>
    <row r="67" spans="2:6" x14ac:dyDescent="0.25">
      <c r="B67" s="2"/>
      <c r="D67" s="3"/>
      <c r="E67" s="3"/>
      <c r="F67" s="3"/>
    </row>
    <row r="68" spans="2:6" x14ac:dyDescent="0.25">
      <c r="B68" s="2"/>
      <c r="D68" s="3"/>
      <c r="E68" s="3"/>
      <c r="F68" s="3"/>
    </row>
    <row r="69" spans="2:6" x14ac:dyDescent="0.25">
      <c r="B69" s="2"/>
      <c r="D69" s="3"/>
      <c r="E69" s="3"/>
      <c r="F69" s="3"/>
    </row>
    <row r="70" spans="2:6" x14ac:dyDescent="0.25">
      <c r="B70" s="2"/>
      <c r="D70" s="3"/>
      <c r="E70" s="3"/>
      <c r="F70" s="3"/>
    </row>
    <row r="71" spans="2:6" x14ac:dyDescent="0.25">
      <c r="B71" s="2"/>
      <c r="D71" s="3"/>
      <c r="E71" s="3"/>
      <c r="F71" s="3"/>
    </row>
    <row r="72" spans="2:6" x14ac:dyDescent="0.25">
      <c r="B72" s="2"/>
      <c r="D72" s="3"/>
      <c r="E72" s="3"/>
      <c r="F72" s="3"/>
    </row>
    <row r="73" spans="2:6" x14ac:dyDescent="0.25">
      <c r="B73" s="2"/>
      <c r="D73" s="3"/>
      <c r="E73" s="3"/>
      <c r="F73" s="3"/>
    </row>
    <row r="74" spans="2:6" x14ac:dyDescent="0.25">
      <c r="B74" s="2"/>
      <c r="D74" s="3"/>
      <c r="E74" s="3"/>
      <c r="F74" s="3"/>
    </row>
    <row r="75" spans="2:6" x14ac:dyDescent="0.25">
      <c r="B75" s="2"/>
      <c r="D75" s="3"/>
      <c r="E75" s="3"/>
      <c r="F75" s="3"/>
    </row>
    <row r="76" spans="2:6" x14ac:dyDescent="0.25">
      <c r="B76" s="2"/>
      <c r="D76" s="3"/>
      <c r="E76" s="3"/>
      <c r="F76" s="3"/>
    </row>
    <row r="77" spans="2:6" x14ac:dyDescent="0.25">
      <c r="B77" s="2"/>
      <c r="D77" s="3"/>
      <c r="E77" s="3"/>
      <c r="F77" s="3"/>
    </row>
    <row r="78" spans="2:6" x14ac:dyDescent="0.25">
      <c r="B78" s="2"/>
      <c r="D78" s="3"/>
      <c r="E78" s="3"/>
      <c r="F78" s="3"/>
    </row>
    <row r="79" spans="2:6" x14ac:dyDescent="0.25">
      <c r="B79" s="2"/>
      <c r="D79" s="3"/>
      <c r="E79" s="3"/>
      <c r="F79" s="3"/>
    </row>
    <row r="80" spans="2:6" x14ac:dyDescent="0.25">
      <c r="B80" s="2"/>
      <c r="D80" s="3"/>
      <c r="E80" s="3"/>
      <c r="F80" s="3"/>
    </row>
    <row r="81" spans="2:6" x14ac:dyDescent="0.25">
      <c r="B81" s="2"/>
      <c r="D81" s="3"/>
      <c r="E81" s="3"/>
      <c r="F81" s="3"/>
    </row>
    <row r="82" spans="2:6" x14ac:dyDescent="0.25">
      <c r="B82" s="2"/>
      <c r="D82" s="3"/>
      <c r="E82" s="3"/>
      <c r="F82" s="3"/>
    </row>
    <row r="83" spans="2:6" x14ac:dyDescent="0.25">
      <c r="B83" s="2"/>
      <c r="D83" s="3"/>
      <c r="E83" s="3"/>
      <c r="F83" s="3"/>
    </row>
    <row r="84" spans="2:6" x14ac:dyDescent="0.25">
      <c r="B84" s="2"/>
      <c r="D84" s="3"/>
      <c r="E84" s="3"/>
      <c r="F84" s="3"/>
    </row>
    <row r="85" spans="2:6" x14ac:dyDescent="0.25">
      <c r="B85" s="2"/>
      <c r="D85" s="3"/>
      <c r="E85" s="3"/>
      <c r="F85" s="3"/>
    </row>
    <row r="86" spans="2:6" x14ac:dyDescent="0.25">
      <c r="B86" s="2"/>
      <c r="D86" s="3"/>
      <c r="E86" s="3"/>
      <c r="F86" s="3"/>
    </row>
    <row r="87" spans="2:6" x14ac:dyDescent="0.25">
      <c r="B87" s="2"/>
      <c r="D87" s="3"/>
      <c r="E87" s="3"/>
      <c r="F87" s="3"/>
    </row>
    <row r="88" spans="2:6" x14ac:dyDescent="0.25">
      <c r="B88" s="2"/>
      <c r="D88" s="3"/>
      <c r="E88" s="3"/>
      <c r="F88" s="3"/>
    </row>
    <row r="89" spans="2:6" x14ac:dyDescent="0.25">
      <c r="B89" s="2"/>
      <c r="D89" s="3"/>
      <c r="E89" s="3"/>
      <c r="F89" s="3"/>
    </row>
    <row r="90" spans="2:6" x14ac:dyDescent="0.25">
      <c r="B90" s="2"/>
      <c r="D90" s="3"/>
      <c r="E90" s="3"/>
      <c r="F90" s="3"/>
    </row>
    <row r="91" spans="2:6" x14ac:dyDescent="0.25">
      <c r="B91" s="2"/>
      <c r="D91" s="3"/>
      <c r="E91" s="3"/>
      <c r="F91" s="3"/>
    </row>
    <row r="92" spans="2:6" x14ac:dyDescent="0.25">
      <c r="B92" s="2"/>
      <c r="D92" s="3"/>
      <c r="E92" s="3"/>
      <c r="F92" s="3"/>
    </row>
    <row r="93" spans="2:6" x14ac:dyDescent="0.25">
      <c r="B93" s="2"/>
      <c r="D93" s="3"/>
      <c r="E93" s="3"/>
      <c r="F93" s="3"/>
    </row>
    <row r="94" spans="2:6" x14ac:dyDescent="0.25">
      <c r="B94" s="2"/>
      <c r="D94" s="3"/>
      <c r="E94" s="3"/>
      <c r="F94" s="3"/>
    </row>
    <row r="95" spans="2:6" x14ac:dyDescent="0.25">
      <c r="B95" s="2"/>
      <c r="D95" s="3"/>
      <c r="E95" s="3"/>
      <c r="F95" s="3"/>
    </row>
    <row r="96" spans="2:6" x14ac:dyDescent="0.25">
      <c r="B96" s="2"/>
      <c r="D96" s="3"/>
      <c r="E96" s="3"/>
      <c r="F96" s="3"/>
    </row>
    <row r="97" spans="2:6" x14ac:dyDescent="0.25">
      <c r="B97" s="2"/>
      <c r="D97" s="3"/>
      <c r="E97" s="3"/>
      <c r="F97" s="3"/>
    </row>
    <row r="98" spans="2:6" x14ac:dyDescent="0.25">
      <c r="B98" s="2"/>
      <c r="D98" s="3"/>
      <c r="E98" s="3"/>
      <c r="F98" s="3"/>
    </row>
    <row r="99" spans="2:6" x14ac:dyDescent="0.25">
      <c r="B99" s="2"/>
      <c r="D99" s="3"/>
      <c r="E99" s="3"/>
      <c r="F99" s="3"/>
    </row>
    <row r="100" spans="2:6" x14ac:dyDescent="0.25">
      <c r="B100" s="2"/>
      <c r="D100" s="3"/>
      <c r="E100" s="3"/>
      <c r="F100" s="3"/>
    </row>
    <row r="101" spans="2:6" x14ac:dyDescent="0.25">
      <c r="B101" s="2"/>
      <c r="D101" s="3"/>
      <c r="E101" s="3"/>
      <c r="F101" s="3"/>
    </row>
    <row r="102" spans="2:6" x14ac:dyDescent="0.25">
      <c r="B102" s="2"/>
      <c r="D102" s="3"/>
      <c r="E102" s="3"/>
      <c r="F102" s="3"/>
    </row>
    <row r="103" spans="2:6" x14ac:dyDescent="0.25">
      <c r="B103" s="2"/>
      <c r="D103" s="3"/>
      <c r="E103" s="3"/>
      <c r="F103" s="3"/>
    </row>
    <row r="104" spans="2:6" x14ac:dyDescent="0.25">
      <c r="B104" s="2"/>
      <c r="D104" s="3"/>
      <c r="E104" s="3"/>
      <c r="F104" s="3"/>
    </row>
    <row r="105" spans="2:6" x14ac:dyDescent="0.25">
      <c r="B105" s="2"/>
      <c r="D105" s="3"/>
      <c r="E105" s="3"/>
      <c r="F105" s="3"/>
    </row>
    <row r="106" spans="2:6" x14ac:dyDescent="0.25">
      <c r="B106" s="2"/>
      <c r="D106" s="3"/>
      <c r="E106" s="3"/>
      <c r="F106" s="3"/>
    </row>
    <row r="107" spans="2:6" x14ac:dyDescent="0.25">
      <c r="B107" s="2"/>
      <c r="D107" s="3"/>
      <c r="E107" s="3"/>
      <c r="F107" s="3"/>
    </row>
    <row r="108" spans="2:6" x14ac:dyDescent="0.25">
      <c r="B108" s="2"/>
      <c r="D108" s="3"/>
      <c r="E108" s="3"/>
      <c r="F108" s="3"/>
    </row>
    <row r="109" spans="2:6" x14ac:dyDescent="0.25">
      <c r="B109" s="2"/>
      <c r="D109" s="3"/>
      <c r="E109" s="3"/>
      <c r="F109" s="3"/>
    </row>
    <row r="110" spans="2:6" x14ac:dyDescent="0.25">
      <c r="B110" s="2"/>
      <c r="D110" s="3"/>
      <c r="E110" s="3"/>
      <c r="F110" s="3"/>
    </row>
    <row r="111" spans="2:6" x14ac:dyDescent="0.25">
      <c r="B111" s="2"/>
      <c r="D111" s="3"/>
      <c r="E111" s="3"/>
      <c r="F111" s="3"/>
    </row>
    <row r="112" spans="2:6" x14ac:dyDescent="0.25">
      <c r="B112" s="2"/>
      <c r="D112" s="3"/>
      <c r="E112" s="3"/>
      <c r="F112" s="3"/>
    </row>
    <row r="113" spans="4:6" x14ac:dyDescent="0.25">
      <c r="D113" s="3"/>
      <c r="E113" s="3"/>
      <c r="F113" s="3"/>
    </row>
  </sheetData>
  <mergeCells count="2">
    <mergeCell ref="B3:H3"/>
    <mergeCell ref="L8:M8"/>
  </mergeCells>
  <conditionalFormatting sqref="B6:H55">
    <cfRule type="notContainsBlanks" dxfId="10" priority="1">
      <formula>LEN(TRIM(B6))&gt;0</formula>
    </cfRule>
  </conditionalFormatting>
  <dataValidations count="2">
    <dataValidation type="list" allowBlank="1" showInputMessage="1" showErrorMessage="1" sqref="E6:E55">
      <formula1>$L$4:$M$4</formula1>
    </dataValidation>
    <dataValidation type="list" allowBlank="1" showInputMessage="1" showErrorMessage="1" sqref="F6:F55">
      <formula1>$J$5:$J$7</formula1>
    </dataValidation>
  </dataValidations>
  <pageMargins left="0.7" right="0.7" top="0.75" bottom="0.75" header="0.3" footer="0.3"/>
  <pageSetup paperSize="9" orientation="portrait" horizontalDpi="0" verticalDpi="0" r:id="rId1"/>
  <ignoredErrors>
    <ignoredError sqref="B6:B5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6"/>
  <sheetViews>
    <sheetView showGridLines="0" topLeftCell="E1" zoomScaleNormal="100" workbookViewId="0">
      <selection activeCell="H5" sqref="H5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12.28515625" style="1" customWidth="1"/>
    <col min="4" max="4" width="33.85546875" style="1" customWidth="1"/>
    <col min="5" max="5" width="10.5703125" style="1" customWidth="1"/>
    <col min="6" max="6" width="11.28515625" style="1" customWidth="1"/>
    <col min="7" max="7" width="12" style="1" customWidth="1"/>
    <col min="8" max="8" width="11.42578125" style="1" customWidth="1"/>
    <col min="9" max="9" width="5.28515625" style="1" customWidth="1"/>
    <col min="10" max="10" width="10.7109375" style="1" customWidth="1"/>
    <col min="11" max="11" width="11.5703125" style="1" customWidth="1"/>
    <col min="12" max="12" width="10.85546875" style="1" bestFit="1" customWidth="1"/>
    <col min="13" max="13" width="12" style="1" customWidth="1"/>
    <col min="14" max="14" width="11.5703125" style="1" customWidth="1"/>
    <col min="15" max="15" width="15.5703125" style="1" customWidth="1"/>
    <col min="16" max="16" width="5.85546875" style="1" customWidth="1"/>
    <col min="17" max="17" width="31.28515625" style="1" customWidth="1"/>
    <col min="18" max="18" width="9.28515625" style="1" customWidth="1"/>
    <col min="19" max="19" width="5.85546875" style="1" customWidth="1"/>
    <col min="20" max="16384" width="9.140625" style="1"/>
  </cols>
  <sheetData>
    <row r="1" spans="2:18" ht="19.5" customHeight="1" x14ac:dyDescent="0.25"/>
    <row r="2" spans="2:18" ht="18.75" x14ac:dyDescent="0.25">
      <c r="B2" s="28" t="s">
        <v>64</v>
      </c>
    </row>
    <row r="3" spans="2:18" x14ac:dyDescent="0.25">
      <c r="B3" s="283" t="str">
        <f>"Periode: "&amp;TEXT(DATE(YEAR(C6),MONTH(C6),1),"dd mmmm yyy")&amp;" s.d. "&amp;TEXT(MAX(C6:C55),"dd mmmm yyy")</f>
        <v>Periode: 01 Desember 2018 s.d. 10 Desember 2018</v>
      </c>
      <c r="C3" s="283"/>
      <c r="D3" s="283"/>
      <c r="E3" s="283"/>
      <c r="F3" s="283"/>
      <c r="G3" s="283"/>
      <c r="H3" s="283"/>
    </row>
    <row r="4" spans="2:18" ht="16.5" customHeight="1" x14ac:dyDescent="0.25">
      <c r="B4" s="34" t="s">
        <v>19</v>
      </c>
      <c r="C4" s="35" t="s">
        <v>18</v>
      </c>
      <c r="D4" s="35" t="s">
        <v>17</v>
      </c>
      <c r="E4" s="35" t="s">
        <v>16</v>
      </c>
      <c r="F4" s="35" t="s">
        <v>39</v>
      </c>
      <c r="G4" s="35" t="s">
        <v>15</v>
      </c>
      <c r="H4" s="34" t="s">
        <v>14</v>
      </c>
      <c r="J4" s="34" t="s">
        <v>39</v>
      </c>
      <c r="K4" s="35" t="s">
        <v>13</v>
      </c>
      <c r="L4" s="35" t="s">
        <v>28</v>
      </c>
      <c r="M4" s="35" t="s">
        <v>23</v>
      </c>
      <c r="N4" s="34" t="s">
        <v>38</v>
      </c>
      <c r="Q4" s="77" t="s">
        <v>72</v>
      </c>
      <c r="R4" s="78" t="s">
        <v>16</v>
      </c>
    </row>
    <row r="5" spans="2:18" x14ac:dyDescent="0.25">
      <c r="B5" s="284" t="s">
        <v>37</v>
      </c>
      <c r="C5" s="284"/>
      <c r="D5" s="284"/>
      <c r="E5" s="284"/>
      <c r="F5" s="284"/>
      <c r="G5" s="284"/>
      <c r="H5" s="8">
        <f>K8</f>
        <v>20250000</v>
      </c>
      <c r="J5" s="65" t="s">
        <v>63</v>
      </c>
      <c r="K5" s="66">
        <v>250000</v>
      </c>
      <c r="L5" s="66">
        <f>SUMIFS(G$6:G$55,F$6:F$55,J5,E$6:E$55,L$4)</f>
        <v>750000</v>
      </c>
      <c r="M5" s="66">
        <f>SUMIFS(G$6:G$55,E$6:E$55,M$4,F$6:F$55,J5)</f>
        <v>500000</v>
      </c>
      <c r="N5" s="67">
        <f>K5+L5-M5</f>
        <v>500000</v>
      </c>
      <c r="Q5" s="76" t="s">
        <v>53</v>
      </c>
      <c r="R5" s="75" t="s">
        <v>50</v>
      </c>
    </row>
    <row r="6" spans="2:18" x14ac:dyDescent="0.25">
      <c r="B6" s="4">
        <v>1</v>
      </c>
      <c r="C6" s="6">
        <v>43436</v>
      </c>
      <c r="D6" s="3" t="s">
        <v>55</v>
      </c>
      <c r="E6" s="5" t="str">
        <f t="shared" ref="E6:E37" si="0">IF(B6="","",IF(OR(D6=Q$5,D6=Q$6,D6=Q$7,D6=Q$8,D6=Q$10,D6=Q$12),"masuk","keluar"))</f>
        <v>keluar</v>
      </c>
      <c r="F6" s="3" t="s">
        <v>35</v>
      </c>
      <c r="G6" s="2">
        <v>750000</v>
      </c>
      <c r="H6" s="2">
        <f t="shared" ref="H6:H37" si="1">IF(E6="","",IF(E6="masuk",H5+G6,H5-G6))</f>
        <v>19500000</v>
      </c>
      <c r="J6" s="68" t="s">
        <v>35</v>
      </c>
      <c r="K6" s="63">
        <v>7500000</v>
      </c>
      <c r="L6" s="63">
        <f>SUMIFS(G$6:G$55,F$6:F$55,J6,E$6:E$55,L$4)</f>
        <v>0</v>
      </c>
      <c r="M6" s="63">
        <f>SUMIFS(G$6:G$55,E$6:E$55,M$4,F$6:F$55,J6)</f>
        <v>2025000</v>
      </c>
      <c r="N6" s="69">
        <f>K6+L6-M6</f>
        <v>5475000</v>
      </c>
      <c r="Q6" s="76" t="s">
        <v>58</v>
      </c>
      <c r="R6" s="75" t="s">
        <v>50</v>
      </c>
    </row>
    <row r="7" spans="2:18" x14ac:dyDescent="0.25">
      <c r="B7" s="4">
        <f t="shared" ref="B7:B38" si="2">IF(D7="","",B6+1)</f>
        <v>2</v>
      </c>
      <c r="C7" s="6">
        <v>43436</v>
      </c>
      <c r="D7" s="3" t="s">
        <v>54</v>
      </c>
      <c r="E7" s="5" t="str">
        <f t="shared" si="0"/>
        <v>masuk</v>
      </c>
      <c r="F7" s="3" t="s">
        <v>63</v>
      </c>
      <c r="G7" s="2">
        <v>750000</v>
      </c>
      <c r="H7" s="2">
        <f t="shared" si="1"/>
        <v>20250000</v>
      </c>
      <c r="J7" s="70" t="s">
        <v>27</v>
      </c>
      <c r="K7" s="71">
        <v>12500000</v>
      </c>
      <c r="L7" s="71">
        <f>SUMIFS(G$6:G$55,F$6:F$55,J7,E$6:E$55,L$4)</f>
        <v>10000000</v>
      </c>
      <c r="M7" s="71">
        <f>SUMIFS(G$6:G$55,E$6:E$55,M$4,F$6:F$55,J7)</f>
        <v>8295000</v>
      </c>
      <c r="N7" s="72">
        <f>K7+L7-M7</f>
        <v>14205000</v>
      </c>
      <c r="Q7" s="76" t="s">
        <v>57</v>
      </c>
      <c r="R7" s="75" t="s">
        <v>50</v>
      </c>
    </row>
    <row r="8" spans="2:18" x14ac:dyDescent="0.25">
      <c r="B8" s="4">
        <f t="shared" si="2"/>
        <v>3</v>
      </c>
      <c r="C8" s="6">
        <v>43437</v>
      </c>
      <c r="D8" s="3" t="s">
        <v>47</v>
      </c>
      <c r="E8" s="5" t="str">
        <f t="shared" si="0"/>
        <v>keluar</v>
      </c>
      <c r="F8" s="3" t="s">
        <v>35</v>
      </c>
      <c r="G8" s="2">
        <v>1025000</v>
      </c>
      <c r="H8" s="2">
        <f t="shared" si="1"/>
        <v>19225000</v>
      </c>
      <c r="K8" s="73">
        <f>SUM(K5:K7)</f>
        <v>20250000</v>
      </c>
      <c r="L8" s="64">
        <f>SUM(L5:L7)</f>
        <v>10750000</v>
      </c>
      <c r="M8" s="64">
        <f>SUM(M5:M7)</f>
        <v>10820000</v>
      </c>
      <c r="N8" s="74">
        <f>SUM(N5:N7)</f>
        <v>20180000</v>
      </c>
      <c r="Q8" s="76" t="s">
        <v>56</v>
      </c>
      <c r="R8" s="75" t="s">
        <v>50</v>
      </c>
    </row>
    <row r="9" spans="2:18" x14ac:dyDescent="0.25">
      <c r="B9" s="4">
        <f t="shared" si="2"/>
        <v>4</v>
      </c>
      <c r="C9" s="6">
        <v>43438</v>
      </c>
      <c r="D9" s="3" t="s">
        <v>10</v>
      </c>
      <c r="E9" s="5" t="str">
        <f t="shared" si="0"/>
        <v>keluar</v>
      </c>
      <c r="F9" s="3" t="s">
        <v>27</v>
      </c>
      <c r="G9" s="2">
        <v>795000</v>
      </c>
      <c r="H9" s="2">
        <f t="shared" si="1"/>
        <v>18430000</v>
      </c>
      <c r="Q9" s="76" t="s">
        <v>55</v>
      </c>
      <c r="R9" s="75" t="s">
        <v>41</v>
      </c>
    </row>
    <row r="10" spans="2:18" x14ac:dyDescent="0.25">
      <c r="B10" s="4">
        <f t="shared" si="2"/>
        <v>5</v>
      </c>
      <c r="C10" s="6">
        <v>43438</v>
      </c>
      <c r="D10" s="3" t="s">
        <v>53</v>
      </c>
      <c r="E10" s="5" t="str">
        <f t="shared" si="0"/>
        <v>masuk</v>
      </c>
      <c r="F10" s="3" t="s">
        <v>27</v>
      </c>
      <c r="G10" s="2">
        <v>10000000</v>
      </c>
      <c r="H10" s="2">
        <f t="shared" si="1"/>
        <v>28430000</v>
      </c>
      <c r="Q10" s="76" t="s">
        <v>54</v>
      </c>
      <c r="R10" s="75" t="s">
        <v>50</v>
      </c>
    </row>
    <row r="11" spans="2:18" x14ac:dyDescent="0.25">
      <c r="B11" s="4">
        <f t="shared" si="2"/>
        <v>6</v>
      </c>
      <c r="C11" s="6">
        <v>43442</v>
      </c>
      <c r="D11" s="3" t="s">
        <v>49</v>
      </c>
      <c r="E11" s="5" t="str">
        <f t="shared" si="0"/>
        <v>keluar</v>
      </c>
      <c r="F11" s="3" t="s">
        <v>27</v>
      </c>
      <c r="G11" s="2">
        <v>7500000</v>
      </c>
      <c r="H11" s="2">
        <f t="shared" si="1"/>
        <v>20930000</v>
      </c>
      <c r="Q11" s="76" t="s">
        <v>52</v>
      </c>
      <c r="R11" s="75" t="s">
        <v>41</v>
      </c>
    </row>
    <row r="12" spans="2:18" x14ac:dyDescent="0.25">
      <c r="B12" s="4">
        <f t="shared" si="2"/>
        <v>7</v>
      </c>
      <c r="C12" s="6">
        <v>43443</v>
      </c>
      <c r="D12" s="3" t="s">
        <v>42</v>
      </c>
      <c r="E12" s="5" t="str">
        <f t="shared" si="0"/>
        <v>keluar</v>
      </c>
      <c r="F12" s="3" t="s">
        <v>35</v>
      </c>
      <c r="G12" s="2">
        <v>250000</v>
      </c>
      <c r="H12" s="2">
        <f t="shared" si="1"/>
        <v>20680000</v>
      </c>
      <c r="Q12" s="76" t="s">
        <v>51</v>
      </c>
      <c r="R12" s="75" t="s">
        <v>50</v>
      </c>
    </row>
    <row r="13" spans="2:18" x14ac:dyDescent="0.25">
      <c r="B13" s="4">
        <f t="shared" si="2"/>
        <v>8</v>
      </c>
      <c r="C13" s="6">
        <v>43444</v>
      </c>
      <c r="D13" s="3" t="s">
        <v>46</v>
      </c>
      <c r="E13" s="5" t="str">
        <f t="shared" si="0"/>
        <v>keluar</v>
      </c>
      <c r="F13" s="3" t="s">
        <v>63</v>
      </c>
      <c r="G13" s="2">
        <v>150000</v>
      </c>
      <c r="H13" s="2">
        <f t="shared" si="1"/>
        <v>20530000</v>
      </c>
      <c r="Q13" s="76" t="s">
        <v>10</v>
      </c>
      <c r="R13" s="75" t="s">
        <v>41</v>
      </c>
    </row>
    <row r="14" spans="2:18" x14ac:dyDescent="0.25">
      <c r="B14" s="4">
        <f t="shared" si="2"/>
        <v>9</v>
      </c>
      <c r="C14" s="6">
        <v>43444</v>
      </c>
      <c r="D14" s="3" t="s">
        <v>24</v>
      </c>
      <c r="E14" s="5" t="str">
        <f t="shared" si="0"/>
        <v>keluar</v>
      </c>
      <c r="F14" s="3" t="s">
        <v>63</v>
      </c>
      <c r="G14" s="2">
        <v>350000</v>
      </c>
      <c r="H14" s="2">
        <f t="shared" si="1"/>
        <v>20180000</v>
      </c>
      <c r="Q14" s="76" t="s">
        <v>49</v>
      </c>
      <c r="R14" s="75" t="s">
        <v>41</v>
      </c>
    </row>
    <row r="15" spans="2:18" x14ac:dyDescent="0.25">
      <c r="B15" s="4" t="str">
        <f t="shared" si="2"/>
        <v/>
      </c>
      <c r="C15" s="6"/>
      <c r="D15" s="3"/>
      <c r="E15" s="5" t="str">
        <f t="shared" si="0"/>
        <v/>
      </c>
      <c r="F15" s="3"/>
      <c r="G15" s="2"/>
      <c r="H15" s="2" t="str">
        <f t="shared" si="1"/>
        <v/>
      </c>
      <c r="Q15" s="76" t="s">
        <v>48</v>
      </c>
      <c r="R15" s="75" t="s">
        <v>41</v>
      </c>
    </row>
    <row r="16" spans="2:18" x14ac:dyDescent="0.25">
      <c r="B16" s="4" t="str">
        <f t="shared" si="2"/>
        <v/>
      </c>
      <c r="C16" s="6"/>
      <c r="D16" s="3"/>
      <c r="E16" s="5" t="str">
        <f t="shared" si="0"/>
        <v/>
      </c>
      <c r="F16" s="3"/>
      <c r="G16" s="2"/>
      <c r="H16" s="2" t="str">
        <f t="shared" si="1"/>
        <v/>
      </c>
      <c r="Q16" s="76" t="s">
        <v>47</v>
      </c>
      <c r="R16" s="75" t="s">
        <v>41</v>
      </c>
    </row>
    <row r="17" spans="2:18" x14ac:dyDescent="0.25">
      <c r="B17" s="4" t="str">
        <f t="shared" si="2"/>
        <v/>
      </c>
      <c r="C17" s="6"/>
      <c r="D17" s="3"/>
      <c r="E17" s="5" t="str">
        <f t="shared" si="0"/>
        <v/>
      </c>
      <c r="F17" s="3"/>
      <c r="G17" s="2"/>
      <c r="H17" s="2" t="str">
        <f t="shared" si="1"/>
        <v/>
      </c>
      <c r="Q17" s="76" t="s">
        <v>46</v>
      </c>
      <c r="R17" s="75" t="s">
        <v>41</v>
      </c>
    </row>
    <row r="18" spans="2:18" x14ac:dyDescent="0.25">
      <c r="B18" s="4" t="str">
        <f t="shared" si="2"/>
        <v/>
      </c>
      <c r="C18" s="6"/>
      <c r="D18" s="3"/>
      <c r="E18" s="5" t="str">
        <f t="shared" si="0"/>
        <v/>
      </c>
      <c r="F18" s="3"/>
      <c r="G18" s="2"/>
      <c r="H18" s="2" t="str">
        <f t="shared" si="1"/>
        <v/>
      </c>
      <c r="Q18" s="76" t="s">
        <v>45</v>
      </c>
      <c r="R18" s="75" t="s">
        <v>41</v>
      </c>
    </row>
    <row r="19" spans="2:18" x14ac:dyDescent="0.25">
      <c r="B19" s="4" t="str">
        <f t="shared" si="2"/>
        <v/>
      </c>
      <c r="C19" s="6"/>
      <c r="D19" s="3"/>
      <c r="E19" s="5" t="str">
        <f t="shared" si="0"/>
        <v/>
      </c>
      <c r="F19" s="3"/>
      <c r="G19" s="2"/>
      <c r="H19" s="2" t="str">
        <f t="shared" si="1"/>
        <v/>
      </c>
      <c r="Q19" s="76" t="s">
        <v>6</v>
      </c>
      <c r="R19" s="75" t="s">
        <v>41</v>
      </c>
    </row>
    <row r="20" spans="2:18" x14ac:dyDescent="0.25">
      <c r="B20" s="4" t="str">
        <f t="shared" si="2"/>
        <v/>
      </c>
      <c r="C20" s="6"/>
      <c r="D20" s="3"/>
      <c r="E20" s="5" t="str">
        <f t="shared" si="0"/>
        <v/>
      </c>
      <c r="F20" s="3"/>
      <c r="G20" s="2"/>
      <c r="H20" s="2" t="str">
        <f t="shared" si="1"/>
        <v/>
      </c>
      <c r="Q20" s="76" t="s">
        <v>44</v>
      </c>
      <c r="R20" s="75" t="s">
        <v>41</v>
      </c>
    </row>
    <row r="21" spans="2:18" x14ac:dyDescent="0.25">
      <c r="B21" s="4" t="str">
        <f t="shared" si="2"/>
        <v/>
      </c>
      <c r="C21" s="6"/>
      <c r="D21" s="3"/>
      <c r="E21" s="5" t="str">
        <f t="shared" si="0"/>
        <v/>
      </c>
      <c r="F21" s="3"/>
      <c r="G21" s="2"/>
      <c r="H21" s="2" t="str">
        <f t="shared" si="1"/>
        <v/>
      </c>
      <c r="Q21" s="76" t="s">
        <v>43</v>
      </c>
      <c r="R21" s="75" t="s">
        <v>41</v>
      </c>
    </row>
    <row r="22" spans="2:18" x14ac:dyDescent="0.25">
      <c r="B22" s="4" t="str">
        <f t="shared" si="2"/>
        <v/>
      </c>
      <c r="C22" s="6"/>
      <c r="D22" s="3"/>
      <c r="E22" s="5" t="str">
        <f t="shared" si="0"/>
        <v/>
      </c>
      <c r="F22" s="3"/>
      <c r="G22" s="2"/>
      <c r="H22" s="2" t="str">
        <f t="shared" si="1"/>
        <v/>
      </c>
      <c r="Q22" s="76" t="s">
        <v>42</v>
      </c>
      <c r="R22" s="75" t="s">
        <v>41</v>
      </c>
    </row>
    <row r="23" spans="2:18" x14ac:dyDescent="0.25">
      <c r="B23" s="4" t="str">
        <f t="shared" si="2"/>
        <v/>
      </c>
      <c r="C23" s="6"/>
      <c r="D23" s="3"/>
      <c r="E23" s="5" t="str">
        <f t="shared" si="0"/>
        <v/>
      </c>
      <c r="F23" s="3"/>
      <c r="G23" s="2"/>
      <c r="H23" s="2" t="str">
        <f t="shared" si="1"/>
        <v/>
      </c>
      <c r="Q23" s="76" t="s">
        <v>24</v>
      </c>
      <c r="R23" s="75" t="s">
        <v>41</v>
      </c>
    </row>
    <row r="24" spans="2:18" x14ac:dyDescent="0.25">
      <c r="B24" s="4" t="str">
        <f t="shared" si="2"/>
        <v/>
      </c>
      <c r="C24" s="6"/>
      <c r="D24" s="3"/>
      <c r="E24" s="5" t="str">
        <f t="shared" si="0"/>
        <v/>
      </c>
      <c r="F24" s="3"/>
      <c r="G24" s="2"/>
      <c r="H24" s="2" t="str">
        <f t="shared" si="1"/>
        <v/>
      </c>
      <c r="R24" s="3"/>
    </row>
    <row r="25" spans="2:18" x14ac:dyDescent="0.25">
      <c r="B25" s="4" t="str">
        <f t="shared" si="2"/>
        <v/>
      </c>
      <c r="C25" s="6"/>
      <c r="D25" s="3"/>
      <c r="E25" s="5" t="str">
        <f t="shared" si="0"/>
        <v/>
      </c>
      <c r="F25" s="3"/>
      <c r="G25" s="2"/>
      <c r="H25" s="2" t="str">
        <f t="shared" si="1"/>
        <v/>
      </c>
      <c r="R25" s="7"/>
    </row>
    <row r="26" spans="2:18" x14ac:dyDescent="0.25">
      <c r="B26" s="4" t="str">
        <f t="shared" si="2"/>
        <v/>
      </c>
      <c r="C26" s="6"/>
      <c r="D26" s="3"/>
      <c r="E26" s="5" t="str">
        <f t="shared" si="0"/>
        <v/>
      </c>
      <c r="F26" s="3"/>
      <c r="G26" s="2"/>
      <c r="H26" s="2" t="str">
        <f t="shared" si="1"/>
        <v/>
      </c>
      <c r="J26" s="16" t="s">
        <v>60</v>
      </c>
      <c r="R26" s="7"/>
    </row>
    <row r="27" spans="2:18" x14ac:dyDescent="0.25">
      <c r="B27" s="4" t="str">
        <f t="shared" si="2"/>
        <v/>
      </c>
      <c r="C27" s="6"/>
      <c r="D27" s="3"/>
      <c r="E27" s="5" t="str">
        <f t="shared" si="0"/>
        <v/>
      </c>
      <c r="F27" s="3"/>
      <c r="G27" s="2"/>
      <c r="H27" s="2" t="str">
        <f t="shared" si="1"/>
        <v/>
      </c>
      <c r="J27" s="13" t="s">
        <v>53</v>
      </c>
      <c r="K27" s="12"/>
      <c r="L27" s="12"/>
      <c r="M27" s="11">
        <f>SUMIF(D$6:D$55,J27,G$6:G$55)</f>
        <v>10000000</v>
      </c>
      <c r="R27" s="7"/>
    </row>
    <row r="28" spans="2:18" x14ac:dyDescent="0.25">
      <c r="B28" s="4" t="str">
        <f t="shared" si="2"/>
        <v/>
      </c>
      <c r="C28" s="6"/>
      <c r="D28" s="3"/>
      <c r="E28" s="5" t="str">
        <f t="shared" si="0"/>
        <v/>
      </c>
      <c r="F28" s="3"/>
      <c r="G28" s="2"/>
      <c r="H28" s="2" t="str">
        <f t="shared" si="1"/>
        <v/>
      </c>
      <c r="J28" s="13" t="s">
        <v>58</v>
      </c>
      <c r="K28" s="12"/>
      <c r="L28" s="12"/>
      <c r="M28" s="11">
        <f>SUMIF(D$6:D$55,J28,G$6:G$55)</f>
        <v>0</v>
      </c>
      <c r="R28" s="3"/>
    </row>
    <row r="29" spans="2:18" x14ac:dyDescent="0.25">
      <c r="B29" s="4" t="str">
        <f t="shared" si="2"/>
        <v/>
      </c>
      <c r="C29" s="6"/>
      <c r="D29" s="3"/>
      <c r="E29" s="5" t="str">
        <f t="shared" si="0"/>
        <v/>
      </c>
      <c r="F29" s="3"/>
      <c r="G29" s="2"/>
      <c r="H29" s="2" t="str">
        <f t="shared" si="1"/>
        <v/>
      </c>
      <c r="J29" s="13" t="s">
        <v>57</v>
      </c>
      <c r="K29" s="12"/>
      <c r="L29" s="12"/>
      <c r="M29" s="11">
        <f>SUMIF(D$6:D$55,J29,G$6:G$55)</f>
        <v>0</v>
      </c>
      <c r="R29" s="3"/>
    </row>
    <row r="30" spans="2:18" x14ac:dyDescent="0.25">
      <c r="B30" s="4" t="str">
        <f t="shared" si="2"/>
        <v/>
      </c>
      <c r="C30" s="6"/>
      <c r="D30" s="3"/>
      <c r="E30" s="5" t="str">
        <f t="shared" si="0"/>
        <v/>
      </c>
      <c r="F30" s="3"/>
      <c r="G30" s="2"/>
      <c r="H30" s="2" t="str">
        <f t="shared" si="1"/>
        <v/>
      </c>
      <c r="J30" s="13" t="s">
        <v>56</v>
      </c>
      <c r="K30" s="12"/>
      <c r="L30" s="12"/>
      <c r="M30" s="11">
        <f>SUMIF(D$6:D$55,J30,G$6:G$55)</f>
        <v>0</v>
      </c>
    </row>
    <row r="31" spans="2:18" x14ac:dyDescent="0.25">
      <c r="B31" s="4" t="str">
        <f t="shared" si="2"/>
        <v/>
      </c>
      <c r="C31" s="6"/>
      <c r="D31" s="3"/>
      <c r="E31" s="5" t="str">
        <f t="shared" si="0"/>
        <v/>
      </c>
      <c r="F31" s="3"/>
      <c r="G31" s="2"/>
      <c r="H31" s="2" t="str">
        <f t="shared" si="1"/>
        <v/>
      </c>
      <c r="J31" s="13" t="s">
        <v>54</v>
      </c>
      <c r="K31" s="12"/>
      <c r="L31" s="12"/>
      <c r="M31" s="11">
        <f>SUMIF(D$6:D$55,J31,G$6:G$55)</f>
        <v>750000</v>
      </c>
    </row>
    <row r="32" spans="2:18" x14ac:dyDescent="0.25">
      <c r="B32" s="4" t="str">
        <f t="shared" si="2"/>
        <v/>
      </c>
      <c r="C32" s="6"/>
      <c r="D32" s="3"/>
      <c r="E32" s="5" t="str">
        <f t="shared" si="0"/>
        <v/>
      </c>
      <c r="F32" s="3"/>
      <c r="G32" s="2"/>
      <c r="H32" s="2" t="str">
        <f t="shared" si="1"/>
        <v/>
      </c>
      <c r="J32" s="13" t="s">
        <v>51</v>
      </c>
      <c r="K32" s="12"/>
      <c r="L32" s="12"/>
      <c r="M32" s="11">
        <f>SUMIF(D$6:D$14,J32,G$6:G$14)</f>
        <v>0</v>
      </c>
    </row>
    <row r="33" spans="2:13" x14ac:dyDescent="0.25">
      <c r="B33" s="4" t="str">
        <f t="shared" si="2"/>
        <v/>
      </c>
      <c r="C33" s="6"/>
      <c r="D33" s="3"/>
      <c r="E33" s="5" t="str">
        <f t="shared" si="0"/>
        <v/>
      </c>
      <c r="F33" s="3"/>
      <c r="G33" s="2"/>
      <c r="H33" s="2" t="str">
        <f t="shared" si="1"/>
        <v/>
      </c>
      <c r="L33" s="10" t="s">
        <v>15</v>
      </c>
      <c r="M33" s="9">
        <f>SUM(M27:M32)</f>
        <v>10750000</v>
      </c>
    </row>
    <row r="34" spans="2:13" x14ac:dyDescent="0.25">
      <c r="B34" s="4" t="str">
        <f t="shared" si="2"/>
        <v/>
      </c>
      <c r="C34" s="6"/>
      <c r="D34" s="3"/>
      <c r="E34" s="5" t="str">
        <f t="shared" si="0"/>
        <v/>
      </c>
      <c r="F34" s="3"/>
      <c r="G34" s="2"/>
      <c r="H34" s="2" t="str">
        <f t="shared" si="1"/>
        <v/>
      </c>
    </row>
    <row r="35" spans="2:13" x14ac:dyDescent="0.25">
      <c r="B35" s="4" t="str">
        <f t="shared" si="2"/>
        <v/>
      </c>
      <c r="C35" s="6"/>
      <c r="D35" s="3"/>
      <c r="E35" s="5" t="str">
        <f t="shared" si="0"/>
        <v/>
      </c>
      <c r="F35" s="3"/>
      <c r="G35" s="2"/>
      <c r="H35" s="2" t="str">
        <f t="shared" si="1"/>
        <v/>
      </c>
      <c r="J35" s="15" t="s">
        <v>59</v>
      </c>
      <c r="M35" s="14"/>
    </row>
    <row r="36" spans="2:13" x14ac:dyDescent="0.25">
      <c r="B36" s="4" t="str">
        <f t="shared" si="2"/>
        <v/>
      </c>
      <c r="C36" s="6"/>
      <c r="D36" s="3"/>
      <c r="E36" s="5" t="str">
        <f t="shared" si="0"/>
        <v/>
      </c>
      <c r="F36" s="3"/>
      <c r="G36" s="2"/>
      <c r="H36" s="2" t="str">
        <f t="shared" si="1"/>
        <v/>
      </c>
      <c r="J36" s="13" t="s">
        <v>55</v>
      </c>
      <c r="K36" s="12"/>
      <c r="L36" s="12"/>
      <c r="M36" s="11">
        <f t="shared" ref="M36:M48" si="3">SUMIF(D$6:D$55,J36,G$6:G$55)</f>
        <v>750000</v>
      </c>
    </row>
    <row r="37" spans="2:13" x14ac:dyDescent="0.25">
      <c r="B37" s="4" t="str">
        <f t="shared" si="2"/>
        <v/>
      </c>
      <c r="C37" s="6"/>
      <c r="D37" s="3"/>
      <c r="E37" s="5" t="str">
        <f t="shared" si="0"/>
        <v/>
      </c>
      <c r="F37" s="3"/>
      <c r="G37" s="2"/>
      <c r="H37" s="2" t="str">
        <f t="shared" si="1"/>
        <v/>
      </c>
      <c r="J37" s="13" t="s">
        <v>52</v>
      </c>
      <c r="K37" s="12"/>
      <c r="L37" s="12"/>
      <c r="M37" s="11">
        <f t="shared" si="3"/>
        <v>0</v>
      </c>
    </row>
    <row r="38" spans="2:13" x14ac:dyDescent="0.25">
      <c r="B38" s="4" t="str">
        <f t="shared" si="2"/>
        <v/>
      </c>
      <c r="C38" s="6"/>
      <c r="D38" s="3"/>
      <c r="E38" s="5" t="str">
        <f t="shared" ref="E38:E55" si="4">IF(B38="","",IF(OR(D38=Q$5,D38=Q$6,D38=Q$7,D38=Q$8,D38=Q$10,D38=Q$12),"masuk","keluar"))</f>
        <v/>
      </c>
      <c r="F38" s="3"/>
      <c r="G38" s="2"/>
      <c r="H38" s="2" t="str">
        <f t="shared" ref="H38:H55" si="5">IF(E38="","",IF(E38="masuk",H37+G38,H37-G38))</f>
        <v/>
      </c>
      <c r="J38" s="13" t="s">
        <v>10</v>
      </c>
      <c r="K38" s="12"/>
      <c r="L38" s="12"/>
      <c r="M38" s="11">
        <f t="shared" si="3"/>
        <v>795000</v>
      </c>
    </row>
    <row r="39" spans="2:13" x14ac:dyDescent="0.25">
      <c r="B39" s="4" t="str">
        <f t="shared" ref="B39:B55" si="6">IF(D39="","",B38+1)</f>
        <v/>
      </c>
      <c r="C39" s="6"/>
      <c r="D39" s="3"/>
      <c r="E39" s="5" t="str">
        <f t="shared" si="4"/>
        <v/>
      </c>
      <c r="F39" s="3"/>
      <c r="G39" s="2"/>
      <c r="H39" s="2" t="str">
        <f t="shared" si="5"/>
        <v/>
      </c>
      <c r="J39" s="13" t="s">
        <v>49</v>
      </c>
      <c r="K39" s="12"/>
      <c r="L39" s="12"/>
      <c r="M39" s="11">
        <f t="shared" si="3"/>
        <v>7500000</v>
      </c>
    </row>
    <row r="40" spans="2:13" x14ac:dyDescent="0.25">
      <c r="B40" s="4" t="str">
        <f t="shared" si="6"/>
        <v/>
      </c>
      <c r="C40" s="6"/>
      <c r="D40" s="3"/>
      <c r="E40" s="5" t="str">
        <f t="shared" si="4"/>
        <v/>
      </c>
      <c r="F40" s="3"/>
      <c r="G40" s="2"/>
      <c r="H40" s="2" t="str">
        <f t="shared" si="5"/>
        <v/>
      </c>
      <c r="J40" s="13" t="s">
        <v>48</v>
      </c>
      <c r="K40" s="12"/>
      <c r="L40" s="12"/>
      <c r="M40" s="11">
        <f t="shared" si="3"/>
        <v>0</v>
      </c>
    </row>
    <row r="41" spans="2:13" x14ac:dyDescent="0.25">
      <c r="B41" s="4" t="str">
        <f t="shared" si="6"/>
        <v/>
      </c>
      <c r="C41" s="6"/>
      <c r="D41" s="3"/>
      <c r="E41" s="5" t="str">
        <f t="shared" si="4"/>
        <v/>
      </c>
      <c r="F41" s="3"/>
      <c r="G41" s="2"/>
      <c r="H41" s="2" t="str">
        <f t="shared" si="5"/>
        <v/>
      </c>
      <c r="J41" s="13" t="s">
        <v>47</v>
      </c>
      <c r="K41" s="12"/>
      <c r="L41" s="12"/>
      <c r="M41" s="11">
        <f t="shared" si="3"/>
        <v>1025000</v>
      </c>
    </row>
    <row r="42" spans="2:13" x14ac:dyDescent="0.25">
      <c r="B42" s="4" t="str">
        <f t="shared" si="6"/>
        <v/>
      </c>
      <c r="C42" s="6"/>
      <c r="D42" s="3"/>
      <c r="E42" s="5" t="str">
        <f t="shared" si="4"/>
        <v/>
      </c>
      <c r="F42" s="3"/>
      <c r="G42" s="2"/>
      <c r="H42" s="2" t="str">
        <f t="shared" si="5"/>
        <v/>
      </c>
      <c r="J42" s="13" t="s">
        <v>46</v>
      </c>
      <c r="K42" s="12"/>
      <c r="L42" s="12"/>
      <c r="M42" s="11">
        <f t="shared" si="3"/>
        <v>150000</v>
      </c>
    </row>
    <row r="43" spans="2:13" x14ac:dyDescent="0.25">
      <c r="B43" s="4" t="str">
        <f t="shared" si="6"/>
        <v/>
      </c>
      <c r="C43" s="6"/>
      <c r="D43" s="3"/>
      <c r="E43" s="5" t="str">
        <f t="shared" si="4"/>
        <v/>
      </c>
      <c r="F43" s="3"/>
      <c r="G43" s="2"/>
      <c r="H43" s="2" t="str">
        <f t="shared" si="5"/>
        <v/>
      </c>
      <c r="J43" s="13" t="s">
        <v>45</v>
      </c>
      <c r="K43" s="12"/>
      <c r="L43" s="12"/>
      <c r="M43" s="11">
        <f t="shared" si="3"/>
        <v>0</v>
      </c>
    </row>
    <row r="44" spans="2:13" x14ac:dyDescent="0.25">
      <c r="B44" s="4" t="str">
        <f t="shared" si="6"/>
        <v/>
      </c>
      <c r="C44" s="6"/>
      <c r="D44" s="3"/>
      <c r="E44" s="5" t="str">
        <f t="shared" si="4"/>
        <v/>
      </c>
      <c r="F44" s="3"/>
      <c r="G44" s="2"/>
      <c r="H44" s="2" t="str">
        <f t="shared" si="5"/>
        <v/>
      </c>
      <c r="J44" s="13" t="s">
        <v>6</v>
      </c>
      <c r="K44" s="12"/>
      <c r="L44" s="12"/>
      <c r="M44" s="11">
        <f t="shared" si="3"/>
        <v>0</v>
      </c>
    </row>
    <row r="45" spans="2:13" x14ac:dyDescent="0.25">
      <c r="B45" s="4" t="str">
        <f t="shared" si="6"/>
        <v/>
      </c>
      <c r="C45" s="6"/>
      <c r="D45" s="3"/>
      <c r="E45" s="5" t="str">
        <f t="shared" si="4"/>
        <v/>
      </c>
      <c r="F45" s="3"/>
      <c r="G45" s="2"/>
      <c r="H45" s="2" t="str">
        <f t="shared" si="5"/>
        <v/>
      </c>
      <c r="J45" s="13" t="s">
        <v>44</v>
      </c>
      <c r="K45" s="12"/>
      <c r="L45" s="12"/>
      <c r="M45" s="11">
        <f t="shared" si="3"/>
        <v>0</v>
      </c>
    </row>
    <row r="46" spans="2:13" x14ac:dyDescent="0.25">
      <c r="B46" s="4" t="str">
        <f t="shared" si="6"/>
        <v/>
      </c>
      <c r="C46" s="6"/>
      <c r="D46" s="3"/>
      <c r="E46" s="5" t="str">
        <f t="shared" si="4"/>
        <v/>
      </c>
      <c r="F46" s="3"/>
      <c r="G46" s="2"/>
      <c r="H46" s="2" t="str">
        <f t="shared" si="5"/>
        <v/>
      </c>
      <c r="J46" s="13" t="s">
        <v>43</v>
      </c>
      <c r="K46" s="12"/>
      <c r="L46" s="12"/>
      <c r="M46" s="11">
        <f t="shared" si="3"/>
        <v>0</v>
      </c>
    </row>
    <row r="47" spans="2:13" x14ac:dyDescent="0.25">
      <c r="B47" s="4" t="str">
        <f t="shared" si="6"/>
        <v/>
      </c>
      <c r="C47" s="6"/>
      <c r="D47" s="3"/>
      <c r="E47" s="5" t="str">
        <f t="shared" si="4"/>
        <v/>
      </c>
      <c r="F47" s="3"/>
      <c r="G47" s="2"/>
      <c r="H47" s="2" t="str">
        <f t="shared" si="5"/>
        <v/>
      </c>
      <c r="J47" s="13" t="s">
        <v>42</v>
      </c>
      <c r="K47" s="12"/>
      <c r="L47" s="12"/>
      <c r="M47" s="11">
        <f t="shared" si="3"/>
        <v>250000</v>
      </c>
    </row>
    <row r="48" spans="2:13" x14ac:dyDescent="0.25">
      <c r="B48" s="4" t="str">
        <f t="shared" si="6"/>
        <v/>
      </c>
      <c r="C48" s="6"/>
      <c r="D48" s="3"/>
      <c r="E48" s="5" t="str">
        <f t="shared" si="4"/>
        <v/>
      </c>
      <c r="F48" s="3"/>
      <c r="G48" s="2"/>
      <c r="H48" s="2" t="str">
        <f t="shared" si="5"/>
        <v/>
      </c>
      <c r="J48" s="13" t="s">
        <v>24</v>
      </c>
      <c r="K48" s="12"/>
      <c r="L48" s="12"/>
      <c r="M48" s="11">
        <f t="shared" si="3"/>
        <v>350000</v>
      </c>
    </row>
    <row r="49" spans="2:13" x14ac:dyDescent="0.25">
      <c r="B49" s="4" t="str">
        <f t="shared" si="6"/>
        <v/>
      </c>
      <c r="C49" s="6"/>
      <c r="D49" s="3"/>
      <c r="E49" s="5" t="str">
        <f t="shared" si="4"/>
        <v/>
      </c>
      <c r="F49" s="3"/>
      <c r="G49" s="2"/>
      <c r="H49" s="2" t="str">
        <f t="shared" si="5"/>
        <v/>
      </c>
      <c r="L49" s="10" t="s">
        <v>15</v>
      </c>
      <c r="M49" s="9">
        <f>SUM(M36:M48)</f>
        <v>10820000</v>
      </c>
    </row>
    <row r="50" spans="2:13" x14ac:dyDescent="0.25">
      <c r="B50" s="4" t="str">
        <f t="shared" si="6"/>
        <v/>
      </c>
      <c r="C50" s="6"/>
      <c r="D50" s="3"/>
      <c r="E50" s="5" t="str">
        <f t="shared" si="4"/>
        <v/>
      </c>
      <c r="F50" s="3"/>
      <c r="G50" s="2"/>
      <c r="H50" s="2" t="str">
        <f t="shared" si="5"/>
        <v/>
      </c>
    </row>
    <row r="51" spans="2:13" x14ac:dyDescent="0.25">
      <c r="B51" s="4" t="str">
        <f t="shared" si="6"/>
        <v/>
      </c>
      <c r="C51" s="6"/>
      <c r="D51" s="3"/>
      <c r="E51" s="5" t="str">
        <f t="shared" si="4"/>
        <v/>
      </c>
      <c r="F51" s="3"/>
      <c r="G51" s="2"/>
      <c r="H51" s="2" t="str">
        <f t="shared" si="5"/>
        <v/>
      </c>
    </row>
    <row r="52" spans="2:13" x14ac:dyDescent="0.25">
      <c r="B52" s="4" t="str">
        <f t="shared" si="6"/>
        <v/>
      </c>
      <c r="C52" s="6"/>
      <c r="D52" s="3"/>
      <c r="E52" s="5" t="str">
        <f t="shared" si="4"/>
        <v/>
      </c>
      <c r="F52" s="3"/>
      <c r="G52" s="2"/>
      <c r="H52" s="2" t="str">
        <f t="shared" si="5"/>
        <v/>
      </c>
    </row>
    <row r="53" spans="2:13" x14ac:dyDescent="0.25">
      <c r="B53" s="4" t="str">
        <f t="shared" si="6"/>
        <v/>
      </c>
      <c r="C53" s="6"/>
      <c r="D53" s="3"/>
      <c r="E53" s="5" t="str">
        <f t="shared" si="4"/>
        <v/>
      </c>
      <c r="F53" s="3"/>
      <c r="G53" s="2"/>
      <c r="H53" s="2" t="str">
        <f t="shared" si="5"/>
        <v/>
      </c>
    </row>
    <row r="54" spans="2:13" x14ac:dyDescent="0.25">
      <c r="B54" s="4" t="str">
        <f t="shared" si="6"/>
        <v/>
      </c>
      <c r="C54" s="6"/>
      <c r="D54" s="3"/>
      <c r="E54" s="5" t="str">
        <f t="shared" si="4"/>
        <v/>
      </c>
      <c r="F54" s="3"/>
      <c r="G54" s="2"/>
      <c r="H54" s="2" t="str">
        <f t="shared" si="5"/>
        <v/>
      </c>
    </row>
    <row r="55" spans="2:13" x14ac:dyDescent="0.25">
      <c r="B55" s="4" t="str">
        <f t="shared" si="6"/>
        <v/>
      </c>
      <c r="C55" s="6"/>
      <c r="D55" s="3"/>
      <c r="E55" s="5" t="str">
        <f t="shared" si="4"/>
        <v/>
      </c>
      <c r="F55" s="3"/>
      <c r="G55" s="2"/>
      <c r="H55" s="2" t="str">
        <f t="shared" si="5"/>
        <v/>
      </c>
    </row>
    <row r="56" spans="2:13" x14ac:dyDescent="0.25">
      <c r="D56" s="3"/>
      <c r="E56" s="3"/>
      <c r="G56" s="2"/>
    </row>
  </sheetData>
  <mergeCells count="2">
    <mergeCell ref="B3:H3"/>
    <mergeCell ref="B5:G5"/>
  </mergeCells>
  <conditionalFormatting sqref="B6:H55">
    <cfRule type="notContainsBlanks" dxfId="9" priority="1">
      <formula>LEN(TRIM(B6))&gt;0</formula>
    </cfRule>
  </conditionalFormatting>
  <dataValidations count="2">
    <dataValidation type="list" allowBlank="1" showInputMessage="1" showErrorMessage="1" sqref="F6:F55">
      <formula1>$J$5:$J$7</formula1>
    </dataValidation>
    <dataValidation type="list" allowBlank="1" showInputMessage="1" showErrorMessage="1" sqref="D6:D55">
      <formula1>$Q$5:$Q$23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D8" sqref="D8"/>
    </sheetView>
  </sheetViews>
  <sheetFormatPr defaultRowHeight="15" x14ac:dyDescent="0.25"/>
  <cols>
    <col min="1" max="1" width="5.85546875" style="1" customWidth="1"/>
    <col min="2" max="2" width="9.28515625" style="1" customWidth="1"/>
    <col min="3" max="3" width="27" style="1" customWidth="1"/>
    <col min="4" max="4" width="13" style="1" customWidth="1"/>
    <col min="5" max="5" width="4.85546875" style="1" customWidth="1"/>
    <col min="6" max="6" width="16.42578125" style="1" customWidth="1"/>
    <col min="7" max="7" width="7.7109375" style="1" customWidth="1"/>
    <col min="8" max="8" width="13.57031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28" t="s">
        <v>108</v>
      </c>
    </row>
    <row r="3" spans="1:8" ht="16.5" customHeight="1" x14ac:dyDescent="0.25">
      <c r="A3" s="138">
        <v>400</v>
      </c>
      <c r="B3" s="117" t="s">
        <v>117</v>
      </c>
      <c r="C3" s="118"/>
      <c r="D3" s="123">
        <f>A3*1000000</f>
        <v>400000000</v>
      </c>
      <c r="F3" s="45" t="s">
        <v>112</v>
      </c>
    </row>
    <row r="4" spans="1:8" ht="16.5" customHeight="1" x14ac:dyDescent="0.25">
      <c r="A4" s="138">
        <v>100</v>
      </c>
      <c r="B4" s="285">
        <v>0.25</v>
      </c>
      <c r="C4" s="285"/>
      <c r="D4" s="123">
        <f>A4*1000000</f>
        <v>100000000</v>
      </c>
      <c r="F4" s="133" t="s">
        <v>113</v>
      </c>
      <c r="G4" s="133"/>
      <c r="H4" s="123">
        <f>IF(D5=0,0,D4)</f>
        <v>100000000</v>
      </c>
    </row>
    <row r="5" spans="1:8" ht="16.5" customHeight="1" x14ac:dyDescent="0.25">
      <c r="A5" s="138"/>
      <c r="B5" s="286" t="str">
        <f>IF(D4&lt;B4*D3,"Uang muka terlalu kecil, ulangi!","Rencana Pinjaman")</f>
        <v>Rencana Pinjaman</v>
      </c>
      <c r="C5" s="286"/>
      <c r="D5" s="124">
        <f>IF(D4&lt;B4*D3,0,D3-D4)</f>
        <v>300000000</v>
      </c>
      <c r="F5" s="133" t="s">
        <v>114</v>
      </c>
      <c r="G5" s="133"/>
      <c r="H5" s="123">
        <f>D8</f>
        <v>6625000</v>
      </c>
    </row>
    <row r="6" spans="1:8" ht="16.5" customHeight="1" x14ac:dyDescent="0.25">
      <c r="A6" s="138">
        <v>650</v>
      </c>
      <c r="B6" s="119" t="s">
        <v>109</v>
      </c>
      <c r="C6" s="120"/>
      <c r="D6" s="125">
        <f>A6/10000</f>
        <v>6.5000000000000002E-2</v>
      </c>
      <c r="E6" s="138">
        <v>0</v>
      </c>
      <c r="F6" s="133" t="s">
        <v>115</v>
      </c>
      <c r="G6" s="135">
        <f>E6/10000</f>
        <v>0</v>
      </c>
      <c r="H6" s="123">
        <f>H4*G6</f>
        <v>0</v>
      </c>
    </row>
    <row r="7" spans="1:8" ht="16.5" customHeight="1" x14ac:dyDescent="0.25">
      <c r="B7" s="121" t="s">
        <v>73</v>
      </c>
      <c r="C7" s="122"/>
      <c r="D7" s="126">
        <v>5</v>
      </c>
      <c r="E7" s="138">
        <v>1300</v>
      </c>
      <c r="F7" s="134" t="s">
        <v>116</v>
      </c>
      <c r="G7" s="134"/>
      <c r="H7" s="136">
        <f>E7*1000</f>
        <v>1300000</v>
      </c>
    </row>
    <row r="8" spans="1:8" x14ac:dyDescent="0.25">
      <c r="B8" s="127" t="s">
        <v>83</v>
      </c>
      <c r="C8" s="128"/>
      <c r="D8" s="124">
        <f>D5/(D7*12)+(D5*D6/12)</f>
        <v>6625000</v>
      </c>
      <c r="F8" s="131"/>
      <c r="G8" s="132" t="s">
        <v>15</v>
      </c>
      <c r="H8" s="137">
        <f>SUM(H4:H7)</f>
        <v>107925000</v>
      </c>
    </row>
    <row r="9" spans="1:8" x14ac:dyDescent="0.25">
      <c r="B9" s="117" t="s">
        <v>110</v>
      </c>
      <c r="C9" s="118"/>
      <c r="D9" s="129">
        <v>43697</v>
      </c>
    </row>
    <row r="10" spans="1:8" x14ac:dyDescent="0.25">
      <c r="B10" s="117" t="s">
        <v>111</v>
      </c>
      <c r="C10" s="118"/>
      <c r="D10" s="130">
        <f>IF(D5=0,"",EDATE(D9,(D7*12)-1))</f>
        <v>45493</v>
      </c>
    </row>
    <row r="11" spans="1:8" ht="19.5" customHeight="1" x14ac:dyDescent="0.25"/>
  </sheetData>
  <mergeCells count="2">
    <mergeCell ref="B4:C4"/>
    <mergeCell ref="B5:C5"/>
  </mergeCells>
  <conditionalFormatting sqref="B5:C5">
    <cfRule type="expression" dxfId="8" priority="1">
      <formula>$D$5=0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2</xdr:col>
                    <xdr:colOff>1190625</xdr:colOff>
                    <xdr:row>2</xdr:row>
                    <xdr:rowOff>28575</xdr:rowOff>
                  </from>
                  <to>
                    <xdr:col>2</xdr:col>
                    <xdr:colOff>1676400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croll Bar 2">
              <controlPr defaultSize="0" autoPict="0">
                <anchor moveWithCells="1">
                  <from>
                    <xdr:col>2</xdr:col>
                    <xdr:colOff>1190625</xdr:colOff>
                    <xdr:row>3</xdr:row>
                    <xdr:rowOff>19050</xdr:rowOff>
                  </from>
                  <to>
                    <xdr:col>2</xdr:col>
                    <xdr:colOff>1676400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croll Bar 3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28575</xdr:rowOff>
                  </from>
                  <to>
                    <xdr:col>2</xdr:col>
                    <xdr:colOff>1685925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Scroll Bar 4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19050</xdr:rowOff>
                  </from>
                  <to>
                    <xdr:col>2</xdr:col>
                    <xdr:colOff>1685925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7" name="Scroll Bar 5">
              <controlPr defaultSize="0" autoPict="0">
                <anchor moveWithCells="1">
                  <from>
                    <xdr:col>5</xdr:col>
                    <xdr:colOff>561975</xdr:colOff>
                    <xdr:row>5</xdr:row>
                    <xdr:rowOff>28575</xdr:rowOff>
                  </from>
                  <to>
                    <xdr:col>5</xdr:col>
                    <xdr:colOff>1047750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8" name="Scroll Bar 6">
              <controlPr defaultSize="0" autoPict="0">
                <anchor moveWithCells="1">
                  <from>
                    <xdr:col>5</xdr:col>
                    <xdr:colOff>1038225</xdr:colOff>
                    <xdr:row>6</xdr:row>
                    <xdr:rowOff>19050</xdr:rowOff>
                  </from>
                  <to>
                    <xdr:col>6</xdr:col>
                    <xdr:colOff>428625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D8" sqref="D8"/>
    </sheetView>
  </sheetViews>
  <sheetFormatPr defaultRowHeight="15" x14ac:dyDescent="0.25"/>
  <cols>
    <col min="1" max="1" width="5.85546875" style="1" customWidth="1"/>
    <col min="2" max="2" width="9.28515625" style="1" customWidth="1"/>
    <col min="3" max="3" width="27" style="1" customWidth="1"/>
    <col min="4" max="4" width="13.28515625" style="1" customWidth="1"/>
    <col min="5" max="5" width="4.85546875" style="1" customWidth="1"/>
    <col min="6" max="6" width="16.42578125" style="1" customWidth="1"/>
    <col min="7" max="7" width="7.7109375" style="1" customWidth="1"/>
    <col min="8" max="8" width="13.1406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28" t="s">
        <v>118</v>
      </c>
    </row>
    <row r="3" spans="1:8" ht="16.5" customHeight="1" x14ac:dyDescent="0.25">
      <c r="A3" s="138">
        <v>400</v>
      </c>
      <c r="B3" s="117" t="s">
        <v>117</v>
      </c>
      <c r="C3" s="118"/>
      <c r="D3" s="123">
        <f>A3*1000000</f>
        <v>400000000</v>
      </c>
      <c r="F3" s="45" t="s">
        <v>112</v>
      </c>
    </row>
    <row r="4" spans="1:8" ht="16.5" customHeight="1" x14ac:dyDescent="0.25">
      <c r="A4" s="138">
        <v>100</v>
      </c>
      <c r="B4" s="285">
        <v>0.25</v>
      </c>
      <c r="C4" s="285"/>
      <c r="D4" s="123">
        <f>A4*1000000</f>
        <v>100000000</v>
      </c>
      <c r="F4" s="133" t="s">
        <v>113</v>
      </c>
      <c r="G4" s="133"/>
      <c r="H4" s="123">
        <f>IF(D5=0,0,D4)</f>
        <v>100000000</v>
      </c>
    </row>
    <row r="5" spans="1:8" ht="16.5" customHeight="1" x14ac:dyDescent="0.25">
      <c r="A5" s="138"/>
      <c r="B5" s="286" t="str">
        <f>IF(D4&lt;B4*D3,"Uang muka terlalu kecil, ulangi!","Rencana Pinjaman")</f>
        <v>Rencana Pinjaman</v>
      </c>
      <c r="C5" s="286"/>
      <c r="D5" s="124">
        <f>IF(D4&lt;B4*D3,0,D3-D4)</f>
        <v>300000000</v>
      </c>
      <c r="F5" s="133" t="s">
        <v>114</v>
      </c>
      <c r="G5" s="133"/>
      <c r="H5" s="123">
        <f>D8</f>
        <v>6337273.097150133</v>
      </c>
    </row>
    <row r="6" spans="1:8" ht="16.5" customHeight="1" x14ac:dyDescent="0.25">
      <c r="A6" s="138">
        <v>975</v>
      </c>
      <c r="B6" s="119" t="s">
        <v>109</v>
      </c>
      <c r="C6" s="120"/>
      <c r="D6" s="125">
        <f>A6/10000</f>
        <v>9.7500000000000003E-2</v>
      </c>
      <c r="E6" s="138">
        <v>0</v>
      </c>
      <c r="F6" s="133" t="s">
        <v>115</v>
      </c>
      <c r="G6" s="135">
        <f>E6/10000</f>
        <v>0</v>
      </c>
      <c r="H6" s="123">
        <f>H4*G6</f>
        <v>0</v>
      </c>
    </row>
    <row r="7" spans="1:8" ht="16.5" customHeight="1" x14ac:dyDescent="0.25">
      <c r="B7" s="121" t="s">
        <v>73</v>
      </c>
      <c r="C7" s="122"/>
      <c r="D7" s="126">
        <v>5</v>
      </c>
      <c r="E7" s="138">
        <v>1300</v>
      </c>
      <c r="F7" s="134" t="s">
        <v>116</v>
      </c>
      <c r="G7" s="134"/>
      <c r="H7" s="136">
        <f>E7*1000</f>
        <v>1300000</v>
      </c>
    </row>
    <row r="8" spans="1:8" x14ac:dyDescent="0.25">
      <c r="B8" s="127" t="s">
        <v>83</v>
      </c>
      <c r="C8" s="128"/>
      <c r="D8" s="124">
        <f>-PMT(D6/12,D7*12,D5)</f>
        <v>6337273.097150133</v>
      </c>
      <c r="F8" s="131"/>
      <c r="G8" s="132" t="s">
        <v>15</v>
      </c>
      <c r="H8" s="137">
        <f>SUM(H4:H7)</f>
        <v>107637273.09715013</v>
      </c>
    </row>
    <row r="9" spans="1:8" x14ac:dyDescent="0.25">
      <c r="B9" s="117" t="s">
        <v>110</v>
      </c>
      <c r="C9" s="118"/>
      <c r="D9" s="129">
        <v>43697</v>
      </c>
    </row>
    <row r="10" spans="1:8" x14ac:dyDescent="0.25">
      <c r="B10" s="117" t="s">
        <v>111</v>
      </c>
      <c r="C10" s="118"/>
      <c r="D10" s="130">
        <f>IF(D5=0,"",EDATE(D9,(D7*12)-1))</f>
        <v>45493</v>
      </c>
    </row>
    <row r="11" spans="1:8" ht="19.5" customHeight="1" x14ac:dyDescent="0.25"/>
  </sheetData>
  <mergeCells count="2">
    <mergeCell ref="B4:C4"/>
    <mergeCell ref="B5:C5"/>
  </mergeCells>
  <conditionalFormatting sqref="B5:C5">
    <cfRule type="expression" dxfId="7" priority="1">
      <formula>$D$5=0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Scroll Bar 1">
              <controlPr defaultSize="0" autoPict="0">
                <anchor moveWithCells="1">
                  <from>
                    <xdr:col>2</xdr:col>
                    <xdr:colOff>1190625</xdr:colOff>
                    <xdr:row>2</xdr:row>
                    <xdr:rowOff>28575</xdr:rowOff>
                  </from>
                  <to>
                    <xdr:col>2</xdr:col>
                    <xdr:colOff>1676400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Scroll Bar 2">
              <controlPr defaultSize="0" autoPict="0">
                <anchor moveWithCells="1">
                  <from>
                    <xdr:col>2</xdr:col>
                    <xdr:colOff>1190625</xdr:colOff>
                    <xdr:row>3</xdr:row>
                    <xdr:rowOff>19050</xdr:rowOff>
                  </from>
                  <to>
                    <xdr:col>2</xdr:col>
                    <xdr:colOff>1676400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5" name="Scroll Bar 3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28575</xdr:rowOff>
                  </from>
                  <to>
                    <xdr:col>2</xdr:col>
                    <xdr:colOff>1685925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6" name="Scroll Bar 4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19050</xdr:rowOff>
                  </from>
                  <to>
                    <xdr:col>2</xdr:col>
                    <xdr:colOff>1685925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7" name="Scroll Bar 5">
              <controlPr defaultSize="0" autoPict="0">
                <anchor moveWithCells="1">
                  <from>
                    <xdr:col>5</xdr:col>
                    <xdr:colOff>561975</xdr:colOff>
                    <xdr:row>5</xdr:row>
                    <xdr:rowOff>28575</xdr:rowOff>
                  </from>
                  <to>
                    <xdr:col>5</xdr:col>
                    <xdr:colOff>1047750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8" name="Scroll Bar 6">
              <controlPr defaultSize="0" autoPict="0">
                <anchor moveWithCells="1">
                  <from>
                    <xdr:col>5</xdr:col>
                    <xdr:colOff>1038225</xdr:colOff>
                    <xdr:row>6</xdr:row>
                    <xdr:rowOff>19050</xdr:rowOff>
                  </from>
                  <to>
                    <xdr:col>6</xdr:col>
                    <xdr:colOff>428625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D6" sqref="D6"/>
    </sheetView>
  </sheetViews>
  <sheetFormatPr defaultRowHeight="15" x14ac:dyDescent="0.25"/>
  <cols>
    <col min="1" max="1" width="5.85546875" style="1" customWidth="1"/>
    <col min="2" max="2" width="9.28515625" style="1" customWidth="1"/>
    <col min="3" max="3" width="27" style="1" customWidth="1"/>
    <col min="4" max="4" width="13.5703125" style="1" customWidth="1"/>
    <col min="5" max="5" width="4.85546875" style="1" customWidth="1"/>
    <col min="6" max="6" width="16.42578125" style="1" customWidth="1"/>
    <col min="7" max="7" width="7.7109375" style="1" customWidth="1"/>
    <col min="8" max="8" width="13.285156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28" t="str">
        <f>"PERHITUNGAN ANGSURAN BUNGA "&amp;IF(A3=1,"TETAP","EFEKTIF")</f>
        <v>PERHITUNGAN ANGSURAN BUNGA EFEKTIF</v>
      </c>
    </row>
    <row r="3" spans="1:8" ht="16.5" customHeight="1" x14ac:dyDescent="0.25">
      <c r="A3" s="138">
        <v>2</v>
      </c>
      <c r="B3" s="287" t="s">
        <v>119</v>
      </c>
      <c r="C3" s="287"/>
      <c r="D3" s="287"/>
    </row>
    <row r="4" spans="1:8" ht="16.5" customHeight="1" x14ac:dyDescent="0.25">
      <c r="A4" s="138">
        <v>400</v>
      </c>
      <c r="B4" s="117" t="s">
        <v>117</v>
      </c>
      <c r="C4" s="118"/>
      <c r="D4" s="123">
        <f>A4*1000000</f>
        <v>400000000</v>
      </c>
      <c r="F4" s="45" t="s">
        <v>112</v>
      </c>
    </row>
    <row r="5" spans="1:8" ht="16.5" customHeight="1" x14ac:dyDescent="0.25">
      <c r="A5" s="138">
        <v>100</v>
      </c>
      <c r="B5" s="285">
        <v>0.25</v>
      </c>
      <c r="C5" s="285"/>
      <c r="D5" s="123">
        <f>A5*1000000</f>
        <v>100000000</v>
      </c>
      <c r="F5" s="133" t="s">
        <v>113</v>
      </c>
      <c r="G5" s="133"/>
      <c r="H5" s="123">
        <f>IF(D6=0,0,D5)</f>
        <v>100000000</v>
      </c>
    </row>
    <row r="6" spans="1:8" ht="16.5" customHeight="1" x14ac:dyDescent="0.25">
      <c r="A6" s="138"/>
      <c r="B6" s="286" t="str">
        <f>IF(D5&lt;B5*D4,"Uang muka terlalu kecil, ulangi!","Rencana Pinjaman")</f>
        <v>Rencana Pinjaman</v>
      </c>
      <c r="C6" s="286"/>
      <c r="D6" s="124">
        <f>IF(D5&lt;B5*D4,0,D4-D5)</f>
        <v>300000000</v>
      </c>
      <c r="F6" s="133" t="s">
        <v>114</v>
      </c>
      <c r="G6" s="133"/>
      <c r="H6" s="123">
        <f>D9</f>
        <v>6300558.3929146528</v>
      </c>
    </row>
    <row r="7" spans="1:8" ht="16.5" customHeight="1" x14ac:dyDescent="0.25">
      <c r="A7" s="138">
        <v>950</v>
      </c>
      <c r="B7" s="119" t="s">
        <v>109</v>
      </c>
      <c r="C7" s="120"/>
      <c r="D7" s="125">
        <f>A7/10000</f>
        <v>9.5000000000000001E-2</v>
      </c>
      <c r="E7" s="138">
        <v>0</v>
      </c>
      <c r="F7" s="133" t="s">
        <v>115</v>
      </c>
      <c r="G7" s="135">
        <f>E7/10000</f>
        <v>0</v>
      </c>
      <c r="H7" s="123">
        <f>H5*G7</f>
        <v>0</v>
      </c>
    </row>
    <row r="8" spans="1:8" ht="16.5" customHeight="1" x14ac:dyDescent="0.25">
      <c r="B8" s="121" t="s">
        <v>73</v>
      </c>
      <c r="C8" s="122"/>
      <c r="D8" s="126">
        <v>5</v>
      </c>
      <c r="E8" s="138">
        <v>1300</v>
      </c>
      <c r="F8" s="134" t="s">
        <v>116</v>
      </c>
      <c r="G8" s="134"/>
      <c r="H8" s="136">
        <f>E8*1000</f>
        <v>1300000</v>
      </c>
    </row>
    <row r="9" spans="1:8" x14ac:dyDescent="0.25">
      <c r="B9" s="127" t="s">
        <v>83</v>
      </c>
      <c r="C9" s="128"/>
      <c r="D9" s="124">
        <f>IF(A3=1,D6/(D8*12)+(D6*D7/12),-PMT(D7/12,D8*12,D6))</f>
        <v>6300558.3929146528</v>
      </c>
      <c r="F9" s="131"/>
      <c r="G9" s="132" t="s">
        <v>15</v>
      </c>
      <c r="H9" s="137">
        <f>SUM(H5:H8)</f>
        <v>107600558.39291465</v>
      </c>
    </row>
    <row r="10" spans="1:8" x14ac:dyDescent="0.25">
      <c r="B10" s="117" t="s">
        <v>110</v>
      </c>
      <c r="C10" s="118"/>
      <c r="D10" s="129">
        <v>43697</v>
      </c>
    </row>
    <row r="11" spans="1:8" x14ac:dyDescent="0.25">
      <c r="B11" s="117" t="s">
        <v>111</v>
      </c>
      <c r="C11" s="118"/>
      <c r="D11" s="130">
        <f>IF(D6=0,"",EDATE(D10,(D8*12)-1))</f>
        <v>45493</v>
      </c>
    </row>
    <row r="12" spans="1:8" ht="19.5" customHeight="1" x14ac:dyDescent="0.25"/>
  </sheetData>
  <mergeCells count="3">
    <mergeCell ref="B5:C5"/>
    <mergeCell ref="B6:C6"/>
    <mergeCell ref="B3:D3"/>
  </mergeCells>
  <conditionalFormatting sqref="B6:C6">
    <cfRule type="expression" dxfId="6" priority="1">
      <formula>$D$6=0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Scroll Bar 1">
              <controlPr defaultSize="0" autoPict="0">
                <anchor moveWithCells="1">
                  <from>
                    <xdr:col>2</xdr:col>
                    <xdr:colOff>1190625</xdr:colOff>
                    <xdr:row>3</xdr:row>
                    <xdr:rowOff>28575</xdr:rowOff>
                  </from>
                  <to>
                    <xdr:col>2</xdr:col>
                    <xdr:colOff>1676400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Scroll Bar 2">
              <controlPr defaultSize="0" autoPict="0">
                <anchor moveWithCells="1">
                  <from>
                    <xdr:col>2</xdr:col>
                    <xdr:colOff>1190625</xdr:colOff>
                    <xdr:row>4</xdr:row>
                    <xdr:rowOff>19050</xdr:rowOff>
                  </from>
                  <to>
                    <xdr:col>2</xdr:col>
                    <xdr:colOff>1676400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Scroll Bar 3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28575</xdr:rowOff>
                  </from>
                  <to>
                    <xdr:col>2</xdr:col>
                    <xdr:colOff>1685925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Scroll Bar 4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19050</xdr:rowOff>
                  </from>
                  <to>
                    <xdr:col>2</xdr:col>
                    <xdr:colOff>1685925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7" name="Scroll Bar 5">
              <controlPr defaultSize="0" autoPict="0">
                <anchor moveWithCells="1">
                  <from>
                    <xdr:col>5</xdr:col>
                    <xdr:colOff>561975</xdr:colOff>
                    <xdr:row>6</xdr:row>
                    <xdr:rowOff>28575</xdr:rowOff>
                  </from>
                  <to>
                    <xdr:col>5</xdr:col>
                    <xdr:colOff>1047750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8" name="Scroll Bar 6">
              <controlPr defaultSize="0" autoPict="0">
                <anchor moveWithCells="1">
                  <from>
                    <xdr:col>5</xdr:col>
                    <xdr:colOff>1038225</xdr:colOff>
                    <xdr:row>7</xdr:row>
                    <xdr:rowOff>19050</xdr:rowOff>
                  </from>
                  <to>
                    <xdr:col>6</xdr:col>
                    <xdr:colOff>428625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9" name="Option Button 7">
              <controlPr defaultSize="0" autoFill="0" autoLine="0" autoPict="0">
                <anchor moveWithCells="1">
                  <from>
                    <xdr:col>2</xdr:col>
                    <xdr:colOff>1000125</xdr:colOff>
                    <xdr:row>1</xdr:row>
                    <xdr:rowOff>228600</xdr:rowOff>
                  </from>
                  <to>
                    <xdr:col>2</xdr:col>
                    <xdr:colOff>1209675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0" name="Option Button 8">
              <controlPr defaultSize="0" autoFill="0" autoLine="0" autoPict="0">
                <anchor moveWithCells="1">
                  <from>
                    <xdr:col>3</xdr:col>
                    <xdr:colOff>0</xdr:colOff>
                    <xdr:row>1</xdr:row>
                    <xdr:rowOff>228600</xdr:rowOff>
                  </from>
                  <to>
                    <xdr:col>3</xdr:col>
                    <xdr:colOff>209550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pageSetUpPr fitToPage="1"/>
  </sheetPr>
  <dimension ref="A1:G75"/>
  <sheetViews>
    <sheetView showGridLines="0" zoomScaleNormal="100" workbookViewId="0">
      <selection activeCell="C6" sqref="C6"/>
    </sheetView>
  </sheetViews>
  <sheetFormatPr defaultRowHeight="15" x14ac:dyDescent="0.25"/>
  <cols>
    <col min="1" max="1" width="5.85546875" style="157" customWidth="1"/>
    <col min="2" max="2" width="34.85546875" style="158" customWidth="1"/>
    <col min="3" max="3" width="16.140625" style="158" customWidth="1"/>
    <col min="4" max="4" width="4.28515625" style="158" customWidth="1"/>
    <col min="5" max="5" width="29.42578125" style="158" customWidth="1"/>
    <col min="6" max="6" width="16" style="158" customWidth="1"/>
    <col min="7" max="7" width="5.85546875" style="158" customWidth="1"/>
    <col min="8" max="16384" width="9.140625" style="157"/>
  </cols>
  <sheetData>
    <row r="1" spans="1:7" ht="19.5" customHeight="1" x14ac:dyDescent="0.25"/>
    <row r="2" spans="1:7" ht="18.75" x14ac:dyDescent="0.25">
      <c r="B2" s="159" t="s">
        <v>120</v>
      </c>
      <c r="C2" s="160"/>
    </row>
    <row r="3" spans="1:7" ht="16.5" customHeight="1" x14ac:dyDescent="0.25">
      <c r="A3" s="161">
        <v>1000</v>
      </c>
      <c r="B3" s="180" t="s">
        <v>121</v>
      </c>
      <c r="C3" s="162">
        <f>A3*1000000</f>
        <v>1000000000</v>
      </c>
      <c r="D3" s="163"/>
      <c r="E3" s="195" t="s">
        <v>135</v>
      </c>
      <c r="G3" s="163"/>
    </row>
    <row r="4" spans="1:7" ht="16.5" customHeight="1" x14ac:dyDescent="0.25">
      <c r="A4" s="161"/>
      <c r="B4" s="180" t="s">
        <v>122</v>
      </c>
      <c r="C4" s="164">
        <v>60</v>
      </c>
      <c r="D4" s="165"/>
      <c r="E4" s="191" t="s">
        <v>134</v>
      </c>
      <c r="F4" s="192" t="s">
        <v>123</v>
      </c>
      <c r="G4" s="165"/>
    </row>
    <row r="5" spans="1:7" ht="16.5" customHeight="1" x14ac:dyDescent="0.25">
      <c r="A5" s="161">
        <v>600</v>
      </c>
      <c r="B5" s="181" t="s">
        <v>123</v>
      </c>
      <c r="C5" s="167">
        <f>A5/10000</f>
        <v>0.06</v>
      </c>
      <c r="D5" s="168"/>
      <c r="E5" s="188" t="s">
        <v>137</v>
      </c>
      <c r="F5" s="190">
        <f>C5</f>
        <v>0.06</v>
      </c>
      <c r="G5" s="168"/>
    </row>
    <row r="6" spans="1:7" ht="16.5" customHeight="1" x14ac:dyDescent="0.25">
      <c r="B6" s="184" t="s">
        <v>83</v>
      </c>
      <c r="C6" s="169">
        <f>C3/C4+(C5/12*C3)</f>
        <v>21666666.666666664</v>
      </c>
      <c r="D6" s="168"/>
      <c r="E6" s="189" t="s">
        <v>138</v>
      </c>
      <c r="F6" s="190">
        <v>0.1</v>
      </c>
      <c r="G6" s="168"/>
    </row>
    <row r="7" spans="1:7" ht="16.5" customHeight="1" x14ac:dyDescent="0.25">
      <c r="C7" s="170"/>
      <c r="D7" s="168"/>
      <c r="E7" s="196" t="s">
        <v>136</v>
      </c>
      <c r="F7" s="168"/>
      <c r="G7" s="168"/>
    </row>
    <row r="8" spans="1:7" ht="16.5" customHeight="1" x14ac:dyDescent="0.25">
      <c r="C8" s="170"/>
      <c r="D8" s="168"/>
      <c r="E8" s="193" t="s">
        <v>134</v>
      </c>
      <c r="F8" s="194" t="s">
        <v>123</v>
      </c>
      <c r="G8" s="168"/>
    </row>
    <row r="9" spans="1:7" ht="16.5" customHeight="1" x14ac:dyDescent="0.25">
      <c r="C9" s="170"/>
      <c r="D9" s="168"/>
      <c r="E9" s="188" t="str">
        <f>IF(F6&lt;F15,E6,E5)</f>
        <v>Bank Y - Bunga Efektif</v>
      </c>
      <c r="F9" s="190">
        <f>IF(E9=E5,F5,F6)</f>
        <v>0.1</v>
      </c>
      <c r="G9" s="168"/>
    </row>
    <row r="10" spans="1:7" ht="16.5" customHeight="1" x14ac:dyDescent="0.25">
      <c r="C10" s="170"/>
      <c r="D10" s="168"/>
      <c r="E10" s="168"/>
      <c r="F10" s="168"/>
      <c r="G10" s="168"/>
    </row>
    <row r="11" spans="1:7" x14ac:dyDescent="0.25">
      <c r="B11" s="166" t="s">
        <v>124</v>
      </c>
      <c r="C11" s="157"/>
      <c r="D11" s="168"/>
      <c r="E11" s="186" t="s">
        <v>132</v>
      </c>
      <c r="F11" s="168"/>
      <c r="G11" s="168"/>
    </row>
    <row r="12" spans="1:7" x14ac:dyDescent="0.25">
      <c r="B12" s="182" t="s">
        <v>121</v>
      </c>
      <c r="C12" s="197">
        <f>C3</f>
        <v>1000000000</v>
      </c>
      <c r="D12" s="171"/>
      <c r="E12" s="187" t="s">
        <v>133</v>
      </c>
      <c r="G12" s="171"/>
    </row>
    <row r="13" spans="1:7" x14ac:dyDescent="0.25">
      <c r="B13" s="182" t="s">
        <v>125</v>
      </c>
      <c r="C13" s="172">
        <f>C4</f>
        <v>60</v>
      </c>
      <c r="D13" s="173"/>
      <c r="E13" s="180" t="s">
        <v>121</v>
      </c>
      <c r="F13" s="162">
        <f>C3</f>
        <v>1000000000</v>
      </c>
      <c r="G13" s="173"/>
    </row>
    <row r="14" spans="1:7" x14ac:dyDescent="0.25">
      <c r="B14" s="182" t="s">
        <v>126</v>
      </c>
      <c r="C14" s="174">
        <f>C6</f>
        <v>21666666.666666664</v>
      </c>
      <c r="E14" s="180" t="s">
        <v>122</v>
      </c>
      <c r="F14" s="162">
        <f>C4</f>
        <v>60</v>
      </c>
    </row>
    <row r="15" spans="1:7" ht="14.25" customHeight="1" x14ac:dyDescent="0.25">
      <c r="B15" s="182" t="s">
        <v>127</v>
      </c>
      <c r="C15" s="174">
        <v>0</v>
      </c>
      <c r="E15" s="181" t="s">
        <v>123</v>
      </c>
      <c r="F15" s="167">
        <f>C19</f>
        <v>0.10847940788825232</v>
      </c>
    </row>
    <row r="16" spans="1:7" ht="15" customHeight="1" x14ac:dyDescent="0.25">
      <c r="B16" s="182" t="s">
        <v>128</v>
      </c>
      <c r="C16" s="174">
        <v>0</v>
      </c>
      <c r="E16" s="184" t="s">
        <v>83</v>
      </c>
      <c r="F16" s="169">
        <f>-PMT(F15/12,F14,F13)</f>
        <v>21666666.666666754</v>
      </c>
    </row>
    <row r="17" spans="2:7" x14ac:dyDescent="0.25">
      <c r="B17" s="183" t="s">
        <v>129</v>
      </c>
      <c r="C17" s="175">
        <v>0</v>
      </c>
    </row>
    <row r="18" spans="2:7" ht="15.75" x14ac:dyDescent="0.25">
      <c r="B18" s="185" t="s">
        <v>130</v>
      </c>
      <c r="C18" s="198">
        <f>RATE(C13,-C14,C12,C15,C16,C17)</f>
        <v>9.0399506573543599E-3</v>
      </c>
    </row>
    <row r="19" spans="2:7" x14ac:dyDescent="0.25">
      <c r="B19" s="185" t="s">
        <v>123</v>
      </c>
      <c r="C19" s="176">
        <f>C18*12</f>
        <v>0.10847940788825232</v>
      </c>
    </row>
    <row r="20" spans="2:7" x14ac:dyDescent="0.25">
      <c r="B20" s="288" t="str">
        <f ca="1">_xlfn.FORMULATEXT(C18)</f>
        <v>=RATE(C13;-C14;C12;C15;C16;C17)</v>
      </c>
      <c r="C20" s="288"/>
    </row>
    <row r="21" spans="2:7" x14ac:dyDescent="0.25">
      <c r="B21" s="177" t="s">
        <v>131</v>
      </c>
      <c r="C21" s="178"/>
    </row>
    <row r="22" spans="2:7" ht="19.5" customHeight="1" x14ac:dyDescent="0.25">
      <c r="B22" s="179"/>
      <c r="C22" s="179"/>
      <c r="D22" s="179"/>
      <c r="E22" s="179"/>
      <c r="F22" s="179"/>
      <c r="G22" s="179"/>
    </row>
    <row r="23" spans="2:7" x14ac:dyDescent="0.25">
      <c r="B23" s="179"/>
      <c r="C23" s="179"/>
      <c r="D23" s="179"/>
      <c r="E23" s="179"/>
      <c r="F23" s="179"/>
      <c r="G23" s="179"/>
    </row>
    <row r="24" spans="2:7" x14ac:dyDescent="0.25">
      <c r="B24" s="179"/>
      <c r="C24" s="179"/>
      <c r="D24" s="179"/>
      <c r="E24" s="179"/>
      <c r="F24" s="179"/>
      <c r="G24" s="179"/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29" spans="2:7" hidden="1" x14ac:dyDescent="0.25"/>
    <row r="30" spans="2:7" hidden="1" x14ac:dyDescent="0.25"/>
    <row r="31" spans="2:7" hidden="1" x14ac:dyDescent="0.25"/>
    <row r="32" spans="2:7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5" ht="19.5" customHeight="1" x14ac:dyDescent="0.25"/>
  </sheetData>
  <mergeCells count="1">
    <mergeCell ref="B20:C20"/>
  </mergeCells>
  <printOptions horizontalCentered="1"/>
  <pageMargins left="0" right="0" top="0.98425196850393704" bottom="0.74803149606299213" header="0.31496062992125984" footer="0.31496062992125984"/>
  <pageSetup paperSize="9" orientation="landscape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8" r:id="rId4" name="Scroll Bar 2">
              <controlPr defaultSize="0" autoPict="0">
                <anchor moveWithCells="1">
                  <from>
                    <xdr:col>1</xdr:col>
                    <xdr:colOff>1762125</xdr:colOff>
                    <xdr:row>2</xdr:row>
                    <xdr:rowOff>28575</xdr:rowOff>
                  </from>
                  <to>
                    <xdr:col>1</xdr:col>
                    <xdr:colOff>2247900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Scroll Bar 3">
              <controlPr defaultSize="0" autoPict="0">
                <anchor moveWithCells="1">
                  <from>
                    <xdr:col>1</xdr:col>
                    <xdr:colOff>1762125</xdr:colOff>
                    <xdr:row>3</xdr:row>
                    <xdr:rowOff>19050</xdr:rowOff>
                  </from>
                  <to>
                    <xdr:col>1</xdr:col>
                    <xdr:colOff>2247900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Scroll Bar 4">
              <controlPr defaultSize="0" autoPict="0">
                <anchor moveWithCells="1">
                  <from>
                    <xdr:col>1</xdr:col>
                    <xdr:colOff>1762125</xdr:colOff>
                    <xdr:row>4</xdr:row>
                    <xdr:rowOff>9525</xdr:rowOff>
                  </from>
                  <to>
                    <xdr:col>1</xdr:col>
                    <xdr:colOff>2247900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BANK</vt:lpstr>
      <vt:lpstr>PILIHAN</vt:lpstr>
      <vt:lpstr>KASUS11!PINJAM</vt:lpstr>
      <vt:lpstr>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2018-08-07T21:27:39Z</dcterms:created>
  <dcterms:modified xsi:type="dcterms:W3CDTF">2019-05-29T08:30:53Z</dcterms:modified>
</cp:coreProperties>
</file>